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835" tabRatio="849" activeTab="1"/>
  </bookViews>
  <sheets>
    <sheet name="Instructions" sheetId="1" r:id="rId1"/>
    <sheet name="Scores" sheetId="2" r:id="rId2"/>
    <sheet name="Results" sheetId="3" r:id="rId3"/>
    <sheet name="Declarations" sheetId="4" r:id="rId4"/>
    <sheet name="Start list" sheetId="5" r:id="rId5"/>
    <sheet name="Team positions" sheetId="6" r:id="rId6"/>
    <sheet name="League positions" sheetId="7" r:id="rId7"/>
    <sheet name="Constants" sheetId="8" r:id="rId8"/>
  </sheets>
  <definedNames/>
  <calcPr fullCalcOnLoad="1"/>
</workbook>
</file>

<file path=xl/sharedStrings.xml><?xml version="1.0" encoding="utf-8"?>
<sst xmlns="http://schemas.openxmlformats.org/spreadsheetml/2006/main" count="977" uniqueCount="370">
  <si>
    <t>1=</t>
  </si>
  <si>
    <t>1==</t>
  </si>
  <si>
    <t>1===</t>
  </si>
  <si>
    <t>2=</t>
  </si>
  <si>
    <t>2==</t>
  </si>
  <si>
    <t>2===</t>
  </si>
  <si>
    <t>3=</t>
  </si>
  <si>
    <t>3==</t>
  </si>
  <si>
    <t>3===</t>
  </si>
  <si>
    <t>4=</t>
  </si>
  <si>
    <t>4==</t>
  </si>
  <si>
    <t>4===</t>
  </si>
  <si>
    <t>5=</t>
  </si>
  <si>
    <t>5==</t>
  </si>
  <si>
    <t>5===</t>
  </si>
  <si>
    <t>6=</t>
  </si>
  <si>
    <t>6==</t>
  </si>
  <si>
    <t>7=</t>
  </si>
  <si>
    <t>100m</t>
  </si>
  <si>
    <t>200m</t>
  </si>
  <si>
    <t>400m</t>
  </si>
  <si>
    <t>800m</t>
  </si>
  <si>
    <t>1500m</t>
  </si>
  <si>
    <t>100mH</t>
  </si>
  <si>
    <t>400mH</t>
  </si>
  <si>
    <t>4x100m</t>
  </si>
  <si>
    <t>4x400m</t>
  </si>
  <si>
    <t>Unused</t>
  </si>
  <si>
    <t>Total</t>
  </si>
  <si>
    <t>Used</t>
  </si>
  <si>
    <t>Pos</t>
  </si>
  <si>
    <t>points</t>
  </si>
  <si>
    <t>pos'n</t>
  </si>
  <si>
    <t>OK</t>
  </si>
  <si>
    <t>4x100m relay</t>
  </si>
  <si>
    <t>4x400m relay</t>
  </si>
  <si>
    <t>Match 1</t>
  </si>
  <si>
    <t xml:space="preserve">wind: </t>
  </si>
  <si>
    <t>wind:</t>
  </si>
  <si>
    <t xml:space="preserve">Long Jump </t>
  </si>
  <si>
    <t>High Jump</t>
  </si>
  <si>
    <t>Pole Vault</t>
  </si>
  <si>
    <t>Triple Jump</t>
  </si>
  <si>
    <t>Hammer</t>
  </si>
  <si>
    <t>Discus</t>
  </si>
  <si>
    <t>Javelin</t>
  </si>
  <si>
    <t>unknown</t>
  </si>
  <si>
    <t>Shot</t>
  </si>
  <si>
    <t xml:space="preserve"> </t>
  </si>
  <si>
    <t>n/a</t>
  </si>
  <si>
    <t>Events</t>
  </si>
  <si>
    <t>Gone</t>
  </si>
  <si>
    <t>To Go</t>
  </si>
  <si>
    <t>Pts</t>
  </si>
  <si>
    <t xml:space="preserve">Okay used </t>
  </si>
  <si>
    <t>Okay unused</t>
  </si>
  <si>
    <t>Check !!</t>
  </si>
  <si>
    <t>Long Jump</t>
  </si>
  <si>
    <t>1====</t>
  </si>
  <si>
    <t>1=====</t>
  </si>
  <si>
    <t>1======</t>
  </si>
  <si>
    <t>1=======</t>
  </si>
  <si>
    <t>2====</t>
  </si>
  <si>
    <t>2=====</t>
  </si>
  <si>
    <t>2======</t>
  </si>
  <si>
    <t>3====</t>
  </si>
  <si>
    <t>3=====</t>
  </si>
  <si>
    <t>4====</t>
  </si>
  <si>
    <t>'A' string</t>
  </si>
  <si>
    <t>'B' string</t>
  </si>
  <si>
    <t>'A' String</t>
  </si>
  <si>
    <t>'B' String</t>
  </si>
  <si>
    <t>A</t>
  </si>
  <si>
    <t>B</t>
  </si>
  <si>
    <t xml:space="preserve">                        ?</t>
  </si>
  <si>
    <t>First of all, do NOT update the template spreadsheet, but take a copy of it for each new meeting.</t>
  </si>
  <si>
    <t>This spreadsheet has been designed to do as much of the work as possible automatically, therefore entering data in one field will copy it to other relevant fields.</t>
  </si>
  <si>
    <t>Apart from any amended declarations, the other tasks to be done throughout the day are to input the results and scores.</t>
  </si>
  <si>
    <r>
      <t>"</t>
    </r>
    <r>
      <rPr>
        <b/>
        <sz val="11"/>
        <rFont val="ZapfHumnst BT"/>
        <family val="2"/>
      </rPr>
      <t>Scores</t>
    </r>
    <r>
      <rPr>
        <sz val="11"/>
        <rFont val="ZapfHumnst BT"/>
        <family val="0"/>
      </rPr>
      <t>":- For each event, you will see that there are 2 columns for each club. All that is required is to enter the position in the "pos'n" column. In the event of a tie, the  use "=", eg "1=" denotes a 2-way tie for 1st, "2==" denotes a 3-way tie for 2nd, "5===" denotes a 4-way tie for 5th etc.</t>
    </r>
  </si>
  <si>
    <r>
      <t>The next task is to input the "</t>
    </r>
    <r>
      <rPr>
        <b/>
        <sz val="11"/>
        <rFont val="ZapfHumnst BT"/>
        <family val="2"/>
      </rPr>
      <t>Declarations</t>
    </r>
    <r>
      <rPr>
        <sz val="11"/>
        <rFont val="ZapfHumnst BT"/>
        <family val="0"/>
      </rPr>
      <t>". This is the most time-consuming task of the day - it takes 1/2 hour or more. Note that declarations may change throughout the course of the meeting, but it is still best to get them in early if they are known !</t>
    </r>
  </si>
  <si>
    <t>A-string</t>
  </si>
  <si>
    <t>B-string</t>
  </si>
  <si>
    <t xml:space="preserve">         A-string</t>
  </si>
  <si>
    <t xml:space="preserve">        B-string</t>
  </si>
  <si>
    <t>-</t>
  </si>
  <si>
    <t>Tie</t>
  </si>
  <si>
    <t xml:space="preserve">5000m </t>
  </si>
  <si>
    <t>110mH</t>
  </si>
  <si>
    <t xml:space="preserve">3000m s/c </t>
  </si>
  <si>
    <t>Fields which are meant to be input by the user are un-protected, all other fields are protected to avoid accidentally updating them.  If you think you need to unprotect a field for some reason in order to alter something, then be VERY sure you know what you are doing.</t>
  </si>
  <si>
    <r>
      <t>"</t>
    </r>
    <r>
      <rPr>
        <b/>
        <sz val="11"/>
        <rFont val="ZapfHumnst BT"/>
        <family val="2"/>
      </rPr>
      <t>Results</t>
    </r>
    <r>
      <rPr>
        <sz val="11"/>
        <rFont val="ZapfHumnst BT"/>
        <family val="0"/>
      </rPr>
      <t>":- Enter the race number (eg 1, 2, ….11, 22 etc) in column D (A string) or column K (B string) and the performance in column F or M.  The name and club will be automatically picked up by the system. If an athlete declared as a B-string beats his A-string, then for scoring purposes he becomes the A-string counter, and so input that athlete's number and performance.</t>
    </r>
  </si>
  <si>
    <t>Team</t>
  </si>
  <si>
    <t>League points</t>
  </si>
  <si>
    <t>Match points</t>
  </si>
  <si>
    <t>Number</t>
  </si>
  <si>
    <t>Club</t>
  </si>
  <si>
    <t>To 1st</t>
  </si>
  <si>
    <t>To 2nd</t>
  </si>
  <si>
    <t>To 3rd</t>
  </si>
  <si>
    <t>To 4th</t>
  </si>
  <si>
    <t>To 5th</t>
  </si>
  <si>
    <t>To 6th</t>
  </si>
  <si>
    <t>To 7th</t>
  </si>
  <si>
    <t>&lt;------------------------  Gaps    ------------------------&gt;</t>
  </si>
  <si>
    <t>&lt;-- league overall</t>
  </si>
  <si>
    <t>&lt;--- match overall</t>
  </si>
  <si>
    <t>** ERROR **</t>
  </si>
  <si>
    <t>There are several jobs which can be done before the meeting starts:-</t>
  </si>
  <si>
    <r>
      <t>Secondly, input the lane draw on the "</t>
    </r>
    <r>
      <rPr>
        <b/>
        <sz val="11"/>
        <rFont val="ZapfHumnst BT"/>
        <family val="2"/>
      </rPr>
      <t>Start list</t>
    </r>
    <r>
      <rPr>
        <sz val="11"/>
        <rFont val="ZapfHumnst BT"/>
        <family val="0"/>
      </rPr>
      <t>" sheet. 
Then when the declarations are input, the athletes' names will appear on the start list in the correct lanes. 
Although this is not essential, it can be useful for the commentator.</t>
    </r>
  </si>
  <si>
    <t>League positions before this match</t>
  </si>
  <si>
    <t>New league positions after this match</t>
  </si>
  <si>
    <r>
      <t>Firstly, set up the competing clubs: On the "</t>
    </r>
    <r>
      <rPr>
        <b/>
        <sz val="11"/>
        <rFont val="ZapfHumnst BT"/>
        <family val="2"/>
      </rPr>
      <t>Constants</t>
    </r>
    <r>
      <rPr>
        <sz val="11"/>
        <rFont val="ZapfHumnst BT"/>
        <family val="0"/>
      </rPr>
      <t>" sheet, enter the 8 competing clubs in column M (where it currently says "Team 1" etc in red). Once this is done, there is no need to type in the club names again anywhere.</t>
    </r>
  </si>
  <si>
    <r>
      <t>Thirdly, if this is not the first match of the season, enter the current league scores on the "</t>
    </r>
    <r>
      <rPr>
        <b/>
        <sz val="11"/>
        <rFont val="ZapfHumnst BT"/>
        <family val="2"/>
      </rPr>
      <t>League positions</t>
    </r>
    <r>
      <rPr>
        <sz val="11"/>
        <rFont val="ZapfHumnst BT"/>
        <family val="0"/>
      </rPr>
      <t>" sheet - number, league points and match points. The system will automatically calculate the latest league positions as the match progresses.</t>
    </r>
  </si>
  <si>
    <r>
      <t>As the scores are input throughtout the afternoon, the "</t>
    </r>
    <r>
      <rPr>
        <b/>
        <sz val="11"/>
        <rFont val="ZapfHumnst BT"/>
        <family val="2"/>
      </rPr>
      <t>Team positions</t>
    </r>
    <r>
      <rPr>
        <sz val="11"/>
        <rFont val="ZapfHumnst BT"/>
        <family val="0"/>
      </rPr>
      <t>" will show the current match positions, and the "</t>
    </r>
    <r>
      <rPr>
        <b/>
        <sz val="11"/>
        <rFont val="ZapfHumnst BT"/>
        <family val="2"/>
      </rPr>
      <t>League positions</t>
    </r>
    <r>
      <rPr>
        <sz val="11"/>
        <rFont val="ZapfHumnst BT"/>
        <family val="0"/>
      </rPr>
      <t>" sheet will show the updated league scores..</t>
    </r>
  </si>
  <si>
    <t>Match Points</t>
  </si>
  <si>
    <t>after</t>
  </si>
  <si>
    <t>events</t>
  </si>
  <si>
    <t>with</t>
  </si>
  <si>
    <t>events to go</t>
  </si>
  <si>
    <t>Division 3</t>
  </si>
  <si>
    <t>Match 4</t>
  </si>
  <si>
    <t>Cannock &amp; Staffs AC</t>
  </si>
  <si>
    <t>Coventry Godiva Harriers &amp; Sphinx AC</t>
  </si>
  <si>
    <t>Derby AC</t>
  </si>
  <si>
    <t>Leicester Coritanian AC</t>
  </si>
  <si>
    <t>Nuneaton Harriers</t>
  </si>
  <si>
    <t>Rugby &amp; Northampton AC</t>
  </si>
  <si>
    <t>Tamworth AC</t>
  </si>
  <si>
    <t>City of Stoke AC</t>
  </si>
  <si>
    <t>3000m</t>
  </si>
  <si>
    <t>2000m s/c</t>
  </si>
  <si>
    <t>Liam Ratcliffe</t>
  </si>
  <si>
    <t>Jamie Dains</t>
  </si>
  <si>
    <t>Tom Stenton</t>
  </si>
  <si>
    <t>Stephen Emery</t>
  </si>
  <si>
    <t>Sam Wright</t>
  </si>
  <si>
    <t>Martin Vincent</t>
  </si>
  <si>
    <t>David Tranter</t>
  </si>
  <si>
    <t>Luke Hyland</t>
  </si>
  <si>
    <t>Vincent, Stenton, Stone, Steel</t>
  </si>
  <si>
    <t>Barritt, Ratcliffe, Emery, Labrum</t>
  </si>
  <si>
    <t>Seb Steel</t>
  </si>
  <si>
    <t>Michael Labrum</t>
  </si>
  <si>
    <t>Ciaran Acford</t>
  </si>
  <si>
    <t>Liam Marriott</t>
  </si>
  <si>
    <t>Stephen Milner</t>
  </si>
  <si>
    <t>William Barrowclough</t>
  </si>
  <si>
    <t>Paul Stone</t>
  </si>
  <si>
    <t>James Houghton</t>
  </si>
  <si>
    <t>Ben Taylor</t>
  </si>
  <si>
    <t>Dan Nash</t>
  </si>
  <si>
    <t>Alex Widgery</t>
  </si>
  <si>
    <t>Richard Parker</t>
  </si>
  <si>
    <t>Chris Harvey</t>
  </si>
  <si>
    <t>Ryan Deeley</t>
  </si>
  <si>
    <t>Wesley Weathers</t>
  </si>
  <si>
    <t>Joe Knowles</t>
  </si>
  <si>
    <t>Sam Wren</t>
  </si>
  <si>
    <t>Paul McGranchan</t>
  </si>
  <si>
    <t>Oliver Lines</t>
  </si>
  <si>
    <t>Ben Jones</t>
  </si>
  <si>
    <t>Harvey Speed</t>
  </si>
  <si>
    <t>George Hill</t>
  </si>
  <si>
    <t>Jamie Blundell</t>
  </si>
  <si>
    <t>Karl Robbins</t>
  </si>
  <si>
    <t>Luke Tolly</t>
  </si>
  <si>
    <t xml:space="preserve">Lines, Blundell, McGranchan, </t>
  </si>
  <si>
    <t>Bates, Speed, Lines, Blundell</t>
  </si>
  <si>
    <t>Richard Bown</t>
  </si>
  <si>
    <t>Neil Rudd</t>
  </si>
  <si>
    <t>John Jenkins</t>
  </si>
  <si>
    <t>Adam Bache</t>
  </si>
  <si>
    <t>Ashley Smetham</t>
  </si>
  <si>
    <t>Nathan Woodward</t>
  </si>
  <si>
    <t>Adam Smith</t>
  </si>
  <si>
    <t>Alex Berrow</t>
  </si>
  <si>
    <t>Tom Hardman</t>
  </si>
  <si>
    <t>Nick Crawford</t>
  </si>
  <si>
    <t>Daniel Cash</t>
  </si>
  <si>
    <t>Simon King</t>
  </si>
  <si>
    <t>David Levett</t>
  </si>
  <si>
    <t>David Lines</t>
  </si>
  <si>
    <t>Juan Padmore</t>
  </si>
  <si>
    <t>Lines, Jenkins, Woodward, Rudd</t>
  </si>
  <si>
    <t>Rob Bates</t>
  </si>
  <si>
    <t>Nathan Blundell</t>
  </si>
  <si>
    <t>Andy Colman</t>
  </si>
  <si>
    <t>Callum Clarke</t>
  </si>
  <si>
    <t>Martin Chomanicz</t>
  </si>
  <si>
    <t>Matt McCarthy</t>
  </si>
  <si>
    <t>Carl Shubotham</t>
  </si>
  <si>
    <t>Alex Derricott</t>
  </si>
  <si>
    <t>Fred Mainwaring</t>
  </si>
  <si>
    <t>Ashley Wilson</t>
  </si>
  <si>
    <t>Ashley Steventon</t>
  </si>
  <si>
    <t>Tom Dohnal</t>
  </si>
  <si>
    <t>Elliot Price</t>
  </si>
  <si>
    <t>Jack Bibby</t>
  </si>
  <si>
    <t>Shubotham, Ashman, Jones, Derricott</t>
  </si>
  <si>
    <t>Richard Porter</t>
  </si>
  <si>
    <t>Leon Ashman</t>
  </si>
  <si>
    <t>Matt Sinclair</t>
  </si>
  <si>
    <t>Duncan Hawksworth</t>
  </si>
  <si>
    <t>Sam Worrall</t>
  </si>
  <si>
    <t>Tom Aldred</t>
  </si>
  <si>
    <t>Jordan Wildrianne</t>
  </si>
  <si>
    <t>Sam Payne</t>
  </si>
  <si>
    <t>Tom Lawrence</t>
  </si>
  <si>
    <t>Chris Davison</t>
  </si>
  <si>
    <t>Tom Atkinson</t>
  </si>
  <si>
    <t>Matt Chetwyn</t>
  </si>
  <si>
    <t>Frankie Insley</t>
  </si>
  <si>
    <t>Matt Payne</t>
  </si>
  <si>
    <t>Nathan Roulstone</t>
  </si>
  <si>
    <t>Jason Roulstone</t>
  </si>
  <si>
    <t>Liam Jones-Mansueto</t>
  </si>
  <si>
    <t>43.65</t>
  </si>
  <si>
    <t>40.45</t>
  </si>
  <si>
    <t>39.00</t>
  </si>
  <si>
    <t>24.41</t>
  </si>
  <si>
    <t>24.13</t>
  </si>
  <si>
    <t>37.17</t>
  </si>
  <si>
    <t>17.70</t>
  </si>
  <si>
    <t>6.21</t>
  </si>
  <si>
    <t>6.18</t>
  </si>
  <si>
    <t>6.07</t>
  </si>
  <si>
    <t>5.85</t>
  </si>
  <si>
    <t>5.45</t>
  </si>
  <si>
    <t>5.41</t>
  </si>
  <si>
    <t>5.37</t>
  </si>
  <si>
    <t>3.87</t>
  </si>
  <si>
    <t>5.82</t>
  </si>
  <si>
    <t>5.44</t>
  </si>
  <si>
    <t>4.02</t>
  </si>
  <si>
    <t>3.71</t>
  </si>
  <si>
    <t>Alistair Smith</t>
  </si>
  <si>
    <t>56.4</t>
  </si>
  <si>
    <t>68.3</t>
  </si>
  <si>
    <t>60.5</t>
  </si>
  <si>
    <t>1.93</t>
  </si>
  <si>
    <t>1.80</t>
  </si>
  <si>
    <t>1.75</t>
  </si>
  <si>
    <t>1.50</t>
  </si>
  <si>
    <t>1.45</t>
  </si>
  <si>
    <t>1.70</t>
  </si>
  <si>
    <t>1.65</t>
  </si>
  <si>
    <t>1.59.9</t>
  </si>
  <si>
    <t>2.00.9</t>
  </si>
  <si>
    <t>2.01.4</t>
  </si>
  <si>
    <t>2.03.0</t>
  </si>
  <si>
    <t>2.03.7</t>
  </si>
  <si>
    <t>2.08.1</t>
  </si>
  <si>
    <t>2.47.5</t>
  </si>
  <si>
    <t>1.59.0</t>
  </si>
  <si>
    <t>2.00.3</t>
  </si>
  <si>
    <t>2.04.9</t>
  </si>
  <si>
    <t>14.27</t>
  </si>
  <si>
    <t>14.11</t>
  </si>
  <si>
    <t>11.22</t>
  </si>
  <si>
    <t>8.90</t>
  </si>
  <si>
    <t>8.39</t>
  </si>
  <si>
    <t>7.12</t>
  </si>
  <si>
    <t>9.12</t>
  </si>
  <si>
    <t>8.20</t>
  </si>
  <si>
    <t>7.34</t>
  </si>
  <si>
    <t>11.0</t>
  </si>
  <si>
    <t>11.4</t>
  </si>
  <si>
    <t>11.5</t>
  </si>
  <si>
    <t>12.0</t>
  </si>
  <si>
    <t>12.4</t>
  </si>
  <si>
    <t>12.2</t>
  </si>
  <si>
    <t>12.7</t>
  </si>
  <si>
    <t>McCarthy, Chomanicz, Dohnal, Wilson</t>
  </si>
  <si>
    <t>9.05.1</t>
  </si>
  <si>
    <t>9.15.7</t>
  </si>
  <si>
    <t>9.29.0</t>
  </si>
  <si>
    <t>10.03.6</t>
  </si>
  <si>
    <t>10.21.4</t>
  </si>
  <si>
    <t>10.32.3</t>
  </si>
  <si>
    <t>9.44.7</t>
  </si>
  <si>
    <t>9.49.2</t>
  </si>
  <si>
    <t>9.57.3</t>
  </si>
  <si>
    <t>10.45.7</t>
  </si>
  <si>
    <t>15.31.5</t>
  </si>
  <si>
    <t>Ian McCann</t>
  </si>
  <si>
    <t>43.80</t>
  </si>
  <si>
    <t>42.12</t>
  </si>
  <si>
    <t>37.09</t>
  </si>
  <si>
    <t>36.74</t>
  </si>
  <si>
    <t>36.14</t>
  </si>
  <si>
    <t>32.59</t>
  </si>
  <si>
    <t>15.53</t>
  </si>
  <si>
    <t>34.83</t>
  </si>
  <si>
    <t>29.92</t>
  </si>
  <si>
    <t>27.54</t>
  </si>
  <si>
    <t>15.55</t>
  </si>
  <si>
    <t>14.77</t>
  </si>
  <si>
    <t>4.00</t>
  </si>
  <si>
    <t>2.15</t>
  </si>
  <si>
    <t>52.2</t>
  </si>
  <si>
    <t>52.6</t>
  </si>
  <si>
    <t>53.7</t>
  </si>
  <si>
    <t>54.5</t>
  </si>
  <si>
    <t>57.3</t>
  </si>
  <si>
    <t>52.8</t>
  </si>
  <si>
    <t>53.8</t>
  </si>
  <si>
    <t>55.0</t>
  </si>
  <si>
    <t>55.9</t>
  </si>
  <si>
    <t>58.8</t>
  </si>
  <si>
    <t>17.3</t>
  </si>
  <si>
    <t>19.8</t>
  </si>
  <si>
    <t>22.2</t>
  </si>
  <si>
    <t>Rudd, Padmore, Cash, Crawford</t>
  </si>
  <si>
    <t>Gr1</t>
  </si>
  <si>
    <t>Gr2</t>
  </si>
  <si>
    <t>Gr3</t>
  </si>
  <si>
    <t>13.36</t>
  </si>
  <si>
    <t>12.91</t>
  </si>
  <si>
    <t>12.87</t>
  </si>
  <si>
    <t>10.51</t>
  </si>
  <si>
    <t>12.69</t>
  </si>
  <si>
    <t>11.36</t>
  </si>
  <si>
    <t>10.94</t>
  </si>
  <si>
    <t>Lawrence, Davison, Wildrianne, Roulstone</t>
  </si>
  <si>
    <t>Payne, Chetwyn, Davison, Lawrence</t>
  </si>
  <si>
    <t>22.3</t>
  </si>
  <si>
    <t>23.5</t>
  </si>
  <si>
    <t>23.9</t>
  </si>
  <si>
    <t>24.1</t>
  </si>
  <si>
    <t>24.3</t>
  </si>
  <si>
    <t>25.4</t>
  </si>
  <si>
    <t>23.4</t>
  </si>
  <si>
    <t>24.7</t>
  </si>
  <si>
    <t>25.5</t>
  </si>
  <si>
    <t>26.4</t>
  </si>
  <si>
    <t>4.11.1</t>
  </si>
  <si>
    <t>4.15.7</t>
  </si>
  <si>
    <t>4.16.0</t>
  </si>
  <si>
    <t>4.16.8</t>
  </si>
  <si>
    <t>4.18.7</t>
  </si>
  <si>
    <t>4.20.3</t>
  </si>
  <si>
    <t>4.37.1</t>
  </si>
  <si>
    <t>4.16.6</t>
  </si>
  <si>
    <t>4.26.1</t>
  </si>
  <si>
    <t>4.35.7</t>
  </si>
  <si>
    <t>4.46.8</t>
  </si>
  <si>
    <t>5.07.7</t>
  </si>
  <si>
    <t>44.45</t>
  </si>
  <si>
    <t>30.15</t>
  </si>
  <si>
    <t>26.39</t>
  </si>
  <si>
    <t>23.80</t>
  </si>
  <si>
    <t>21.14</t>
  </si>
  <si>
    <t>17.29</t>
  </si>
  <si>
    <t>25.68</t>
  </si>
  <si>
    <t>13.37</t>
  </si>
  <si>
    <t>45.7</t>
  </si>
  <si>
    <t>46.7</t>
  </si>
  <si>
    <t>47.2</t>
  </si>
  <si>
    <t>49.1</t>
  </si>
  <si>
    <t>6.53.2</t>
  </si>
  <si>
    <t>7.28.1</t>
  </si>
  <si>
    <t>6.38.2</t>
  </si>
  <si>
    <t>8.11.6</t>
  </si>
  <si>
    <t>10.35.4</t>
  </si>
  <si>
    <t>12.44.6</t>
  </si>
  <si>
    <t>3.32.5</t>
  </si>
  <si>
    <t>3.39.3</t>
  </si>
  <si>
    <t>3.39.4</t>
  </si>
  <si>
    <t>3.40.5</t>
  </si>
  <si>
    <t>3.42.4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</si>
</sst>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 numFmtId="168" formatCode="0.#"/>
  </numFmts>
  <fonts count="10">
    <font>
      <sz val="11"/>
      <name val="ZapfHumnst BT"/>
      <family val="0"/>
    </font>
    <font>
      <b/>
      <sz val="11"/>
      <name val="ZapfHumnst BT"/>
      <family val="2"/>
    </font>
    <font>
      <b/>
      <sz val="14"/>
      <name val="ZapfHumnst BT"/>
      <family val="2"/>
    </font>
    <font>
      <b/>
      <sz val="12"/>
      <name val="ZapfHumnst BT"/>
      <family val="2"/>
    </font>
    <font>
      <sz val="11"/>
      <color indexed="10"/>
      <name val="ZapfHumnst BT"/>
      <family val="2"/>
    </font>
    <font>
      <b/>
      <sz val="11"/>
      <color indexed="10"/>
      <name val="ZapfHumnst BT"/>
      <family val="2"/>
    </font>
    <font>
      <sz val="11"/>
      <color indexed="9"/>
      <name val="ZapfHumnst BT"/>
      <family val="2"/>
    </font>
    <font>
      <b/>
      <sz val="11"/>
      <color indexed="9"/>
      <name val="ZapfHumnst BT"/>
      <family val="2"/>
    </font>
    <font>
      <sz val="8"/>
      <name val="ZapfHumnst BT"/>
      <family val="2"/>
    </font>
    <font>
      <i/>
      <sz val="11"/>
      <name val="ZapfHumnst BT"/>
      <family val="2"/>
    </font>
  </fonts>
  <fills count="2">
    <fill>
      <patternFill/>
    </fill>
    <fill>
      <patternFill patternType="gray125"/>
    </fill>
  </fills>
  <borders count="3">
    <border>
      <left/>
      <right/>
      <top/>
      <bottom/>
      <diagonal/>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right"/>
    </xf>
    <xf numFmtId="0" fontId="2" fillId="0" borderId="0" xfId="0" applyFont="1" applyAlignment="1">
      <alignment horizontal="center"/>
    </xf>
    <xf numFmtId="0" fontId="0" fillId="0" borderId="0" xfId="0" applyFont="1" applyAlignment="1">
      <alignment horizontal="center"/>
    </xf>
    <xf numFmtId="0" fontId="0" fillId="0" borderId="1" xfId="0" applyBorder="1" applyAlignment="1" applyProtection="1">
      <alignment horizontal="center"/>
      <protection locked="0"/>
    </xf>
    <xf numFmtId="0" fontId="0" fillId="0" borderId="0" xfId="0" applyAlignment="1" applyProtection="1">
      <alignment/>
      <protection locked="0"/>
    </xf>
    <xf numFmtId="0" fontId="6" fillId="0" borderId="0" xfId="0" applyFont="1" applyAlignment="1" applyProtection="1">
      <alignment horizontal="center"/>
      <protection/>
    </xf>
    <xf numFmtId="0" fontId="6" fillId="0" borderId="0" xfId="0" applyFont="1" applyAlignment="1">
      <alignment/>
    </xf>
    <xf numFmtId="0" fontId="4" fillId="0" borderId="0" xfId="0" applyFont="1" applyAlignment="1" applyProtection="1">
      <alignment horizontal="center"/>
      <protection locked="0"/>
    </xf>
    <xf numFmtId="0" fontId="6" fillId="0" borderId="0" xfId="0" applyFont="1" applyAlignment="1" applyProtection="1">
      <alignment/>
      <protection/>
    </xf>
    <xf numFmtId="0" fontId="7" fillId="0" borderId="0" xfId="0" applyFont="1" applyAlignment="1">
      <alignment horizontal="center"/>
    </xf>
    <xf numFmtId="0" fontId="0" fillId="0" borderId="0" xfId="0" applyFont="1" applyAlignment="1">
      <alignment horizontal="center" vertical="top"/>
    </xf>
    <xf numFmtId="0" fontId="0" fillId="0" borderId="0" xfId="0"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Font="1" applyAlignment="1">
      <alignment vertical="top" wrapText="1"/>
    </xf>
    <xf numFmtId="0" fontId="0" fillId="0" borderId="0" xfId="0" applyFont="1" applyAlignment="1" applyProtection="1">
      <alignment vertical="top"/>
      <protection locked="0"/>
    </xf>
    <xf numFmtId="0" fontId="0" fillId="0" borderId="0" xfId="0" applyFont="1" applyAlignment="1" applyProtection="1">
      <alignment/>
      <protection locked="0"/>
    </xf>
    <xf numFmtId="0" fontId="0" fillId="0" borderId="1" xfId="0" applyFont="1" applyBorder="1" applyAlignment="1" applyProtection="1">
      <alignment horizontal="center"/>
      <protection locked="0"/>
    </xf>
    <xf numFmtId="0" fontId="0" fillId="0" borderId="0" xfId="0" applyFont="1" applyAlignment="1">
      <alignment horizontal="left"/>
    </xf>
    <xf numFmtId="0" fontId="0" fillId="0" borderId="0" xfId="0" applyFont="1" applyAlignment="1">
      <alignment vertical="top"/>
    </xf>
    <xf numFmtId="0" fontId="2"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vertical="top" wrapText="1"/>
      <protection/>
    </xf>
    <xf numFmtId="49" fontId="0" fillId="0" borderId="0" xfId="0" applyNumberFormat="1" applyFont="1" applyAlignment="1" applyProtection="1">
      <alignment horizontal="right"/>
      <protection locked="0"/>
    </xf>
    <xf numFmtId="0" fontId="0" fillId="0" borderId="0" xfId="0" applyFont="1" applyAlignment="1">
      <alignment horizontal="right"/>
    </xf>
    <xf numFmtId="0" fontId="0" fillId="0" borderId="0" xfId="0" applyFont="1" applyAlignment="1" applyProtection="1" quotePrefix="1">
      <alignment/>
      <protection locked="0"/>
    </xf>
    <xf numFmtId="49" fontId="0" fillId="0" borderId="0" xfId="0" applyNumberFormat="1" applyFont="1" applyAlignment="1">
      <alignment horizontal="right"/>
    </xf>
    <xf numFmtId="49" fontId="0" fillId="0" borderId="0" xfId="0" applyNumberFormat="1" applyFont="1" applyAlignment="1" applyProtection="1">
      <alignment horizontal="right" vertical="top"/>
      <protection locked="0"/>
    </xf>
    <xf numFmtId="2" fontId="0" fillId="0" borderId="0" xfId="0" applyNumberFormat="1" applyAlignment="1">
      <alignment/>
    </xf>
    <xf numFmtId="166"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xf>
    <xf numFmtId="49" fontId="4" fillId="0" borderId="0" xfId="0" applyNumberFormat="1" applyFont="1" applyAlignment="1" applyProtection="1">
      <alignment/>
      <protection locked="0"/>
    </xf>
    <xf numFmtId="2" fontId="0" fillId="0" borderId="0" xfId="0" applyNumberFormat="1" applyAlignment="1">
      <alignment horizontal="center"/>
    </xf>
    <xf numFmtId="0" fontId="0" fillId="0" borderId="0" xfId="0" applyNumberFormat="1" applyAlignment="1">
      <alignment/>
    </xf>
    <xf numFmtId="0" fontId="0" fillId="0" borderId="0" xfId="0" applyNumberFormat="1" applyAlignment="1">
      <alignment horizontal="center"/>
    </xf>
    <xf numFmtId="0" fontId="5" fillId="0" borderId="0" xfId="0" applyNumberFormat="1" applyFont="1" applyAlignment="1" applyProtection="1">
      <alignment/>
      <protection locked="0"/>
    </xf>
    <xf numFmtId="0" fontId="7" fillId="0" borderId="0" xfId="0" applyNumberFormat="1" applyFont="1" applyAlignment="1" applyProtection="1">
      <alignment/>
      <protection/>
    </xf>
    <xf numFmtId="0" fontId="0" fillId="0" borderId="0" xfId="0" applyAlignment="1" quotePrefix="1">
      <alignment horizontal="center"/>
    </xf>
    <xf numFmtId="0" fontId="2" fillId="0" borderId="0" xfId="0" applyFont="1" applyAlignment="1" applyProtection="1">
      <alignment horizontal="left"/>
      <protection/>
    </xf>
    <xf numFmtId="0" fontId="0" fillId="0" borderId="0" xfId="0" applyFont="1" applyAlignment="1" applyProtection="1">
      <alignment horizontal="left"/>
      <protection/>
    </xf>
    <xf numFmtId="49" fontId="0" fillId="0" borderId="0" xfId="0" applyNumberFormat="1" applyFont="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vertical="top"/>
      <protection/>
    </xf>
    <xf numFmtId="0" fontId="0" fillId="0" borderId="0" xfId="0" applyFont="1" applyAlignment="1" applyProtection="1">
      <alignment horizontal="center" vertical="top"/>
      <protection/>
    </xf>
    <xf numFmtId="49" fontId="0" fillId="0" borderId="0" xfId="0" applyNumberFormat="1" applyFont="1" applyAlignment="1" applyProtection="1">
      <alignment horizontal="left" vertical="top"/>
      <protection/>
    </xf>
    <xf numFmtId="49" fontId="0" fillId="0" borderId="0" xfId="0" applyNumberFormat="1" applyFont="1" applyAlignment="1" applyProtection="1">
      <alignment horizontal="right" vertical="top"/>
      <protection/>
    </xf>
    <xf numFmtId="0" fontId="2" fillId="0" borderId="0" xfId="0" applyFont="1" applyAlignment="1">
      <alignment horizontal="right"/>
    </xf>
    <xf numFmtId="0" fontId="0" fillId="0" borderId="0" xfId="0" applyAlignment="1" applyProtection="1">
      <alignment/>
      <protection/>
    </xf>
    <xf numFmtId="0" fontId="0" fillId="0" borderId="0" xfId="0" applyAlignment="1" applyProtection="1">
      <alignment vertical="center" wrapText="1"/>
      <protection/>
    </xf>
    <xf numFmtId="0" fontId="2" fillId="0" borderId="0" xfId="0" applyFont="1" applyAlignment="1" applyProtection="1">
      <alignment horizontal="center" vertical="top"/>
      <protection/>
    </xf>
    <xf numFmtId="0" fontId="0" fillId="0" borderId="0" xfId="0" applyFont="1" applyAlignment="1" applyProtection="1">
      <alignment horizontal="right" vertical="top"/>
      <protection/>
    </xf>
    <xf numFmtId="0" fontId="0" fillId="0" borderId="0" xfId="0" applyFont="1" applyAlignment="1" applyProtection="1">
      <alignment horizontal="center"/>
      <protection locked="0"/>
    </xf>
    <xf numFmtId="0" fontId="0" fillId="0" borderId="0" xfId="0" applyFont="1" applyAlignment="1" applyProtection="1">
      <alignment horizontal="center" vertical="top"/>
      <protection locked="0"/>
    </xf>
    <xf numFmtId="0" fontId="0" fillId="0" borderId="0" xfId="0" applyAlignment="1">
      <alignment wrapText="1"/>
    </xf>
    <xf numFmtId="0" fontId="0" fillId="0" borderId="0" xfId="0" applyAlignment="1">
      <alignment/>
    </xf>
    <xf numFmtId="166" fontId="0" fillId="0" borderId="0" xfId="0" applyNumberFormat="1" applyAlignment="1">
      <alignment horizontal="center"/>
    </xf>
    <xf numFmtId="0" fontId="2" fillId="0" borderId="0" xfId="0" applyFont="1" applyAlignment="1">
      <alignment/>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9" fillId="0" borderId="0" xfId="0" applyFont="1" applyAlignment="1">
      <alignment horizontal="center"/>
    </xf>
    <xf numFmtId="49" fontId="9" fillId="0" borderId="0" xfId="0" applyNumberFormat="1" applyFont="1" applyAlignment="1">
      <alignment horizontal="center"/>
    </xf>
    <xf numFmtId="166" fontId="9" fillId="0" borderId="0" xfId="0" applyNumberFormat="1" applyFont="1" applyAlignment="1">
      <alignment/>
    </xf>
    <xf numFmtId="0" fontId="9" fillId="0" borderId="0" xfId="0" applyFont="1" applyAlignment="1">
      <alignment/>
    </xf>
    <xf numFmtId="2" fontId="9" fillId="0" borderId="0" xfId="0" applyNumberFormat="1" applyFont="1" applyAlignment="1">
      <alignment/>
    </xf>
    <xf numFmtId="0" fontId="0" fillId="0" borderId="0" xfId="0" applyAlignment="1" quotePrefix="1">
      <alignment/>
    </xf>
    <xf numFmtId="0" fontId="9" fillId="0" borderId="0" xfId="0" applyFont="1" applyAlignment="1">
      <alignment horizontal="center" vertical="center" wrapText="1"/>
    </xf>
    <xf numFmtId="49" fontId="0" fillId="0" borderId="0" xfId="0" applyNumberFormat="1" applyAlignment="1">
      <alignment horizontal="center" vertical="center" wrapText="1"/>
    </xf>
    <xf numFmtId="2" fontId="0" fillId="0" borderId="0" xfId="0" applyNumberFormat="1" applyAlignment="1">
      <alignment horizontal="center" vertical="center" wrapText="1"/>
    </xf>
    <xf numFmtId="0" fontId="8" fillId="0" borderId="0" xfId="0" applyFont="1" applyAlignment="1">
      <alignment horizontal="center" vertical="center" wrapText="1"/>
    </xf>
    <xf numFmtId="167" fontId="0" fillId="0" borderId="0" xfId="0" applyNumberFormat="1" applyAlignment="1">
      <alignment/>
    </xf>
    <xf numFmtId="0" fontId="0" fillId="0" borderId="0" xfId="0" applyAlignment="1">
      <alignment horizontal="left"/>
    </xf>
    <xf numFmtId="0" fontId="6" fillId="0" borderId="0" xfId="0" applyFont="1" applyAlignment="1" applyProtection="1">
      <alignment horizontal="center"/>
      <protection hidden="1"/>
    </xf>
    <xf numFmtId="49" fontId="6" fillId="0" borderId="0" xfId="0" applyNumberFormat="1" applyFont="1" applyAlignment="1" applyProtection="1">
      <alignment/>
      <protection hidden="1"/>
    </xf>
    <xf numFmtId="0" fontId="0" fillId="0" borderId="0" xfId="0" applyAlignment="1" applyProtection="1">
      <alignment horizontal="center"/>
      <protection locked="0"/>
    </xf>
    <xf numFmtId="0" fontId="0" fillId="0" borderId="0" xfId="0" applyFont="1" applyAlignment="1">
      <alignment horizontal="center" vertical="center"/>
    </xf>
    <xf numFmtId="0" fontId="9" fillId="0" borderId="0" xfId="0" applyFont="1" applyAlignment="1" quotePrefix="1">
      <alignment/>
    </xf>
    <xf numFmtId="0" fontId="0" fillId="0" borderId="1" xfId="0" applyFont="1" applyBorder="1" applyAlignment="1">
      <alignment horizontal="center"/>
    </xf>
    <xf numFmtId="49" fontId="0" fillId="0" borderId="0" xfId="0" applyNumberFormat="1" applyFont="1" applyAlignment="1" applyProtection="1">
      <alignment horizontal="left"/>
      <protection locked="0"/>
    </xf>
    <xf numFmtId="0" fontId="1" fillId="0" borderId="1" xfId="0" applyFont="1" applyBorder="1" applyAlignment="1">
      <alignment horizontal="center"/>
    </xf>
    <xf numFmtId="0" fontId="1" fillId="0" borderId="0"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8" fillId="0" borderId="0" xfId="0" applyFont="1" applyAlignment="1">
      <alignment horizontal="center" vertical="center"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4"/>
  <sheetViews>
    <sheetView zoomScale="90" zoomScaleNormal="90" workbookViewId="0" topLeftCell="A1">
      <selection activeCell="A16" sqref="A16"/>
    </sheetView>
  </sheetViews>
  <sheetFormatPr defaultColWidth="8.796875" defaultRowHeight="14.25"/>
  <cols>
    <col min="1" max="1" width="104.5" style="61" customWidth="1"/>
  </cols>
  <sheetData>
    <row r="1" ht="14.25">
      <c r="A1" s="61" t="s">
        <v>75</v>
      </c>
    </row>
    <row r="2" ht="28.5">
      <c r="A2" s="61" t="s">
        <v>76</v>
      </c>
    </row>
    <row r="3" ht="30" customHeight="1">
      <c r="A3" s="61" t="s">
        <v>89</v>
      </c>
    </row>
    <row r="4" ht="9.75" customHeight="1"/>
    <row r="5" ht="14.25">
      <c r="A5" s="61" t="s">
        <v>107</v>
      </c>
    </row>
    <row r="6" ht="29.25">
      <c r="A6" s="61" t="s">
        <v>111</v>
      </c>
    </row>
    <row r="7" ht="43.5">
      <c r="A7" s="61" t="s">
        <v>108</v>
      </c>
    </row>
    <row r="8" ht="43.5">
      <c r="A8" s="61" t="s">
        <v>112</v>
      </c>
    </row>
    <row r="9" ht="9.75" customHeight="1"/>
    <row r="10" ht="43.5">
      <c r="A10" s="61" t="s">
        <v>79</v>
      </c>
    </row>
    <row r="11" ht="15" customHeight="1">
      <c r="A11" s="61" t="s">
        <v>77</v>
      </c>
    </row>
    <row r="12" ht="57.75">
      <c r="A12" s="61" t="s">
        <v>90</v>
      </c>
    </row>
    <row r="13" ht="43.5">
      <c r="A13" s="61" t="s">
        <v>78</v>
      </c>
    </row>
    <row r="14" ht="30">
      <c r="A14" s="61" t="s">
        <v>113</v>
      </c>
    </row>
  </sheetData>
  <sheetProtection sheet="1" objects="1" scenarios="1"/>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Y41"/>
  <sheetViews>
    <sheetView tabSelected="1" zoomScale="68" zoomScaleNormal="68" workbookViewId="0" topLeftCell="A1">
      <pane ySplit="3" topLeftCell="BM4" activePane="bottomLeft" state="frozen"/>
      <selection pane="topLeft" activeCell="A1" sqref="A1"/>
      <selection pane="bottomLeft" activeCell="Q40" sqref="Q40"/>
    </sheetView>
  </sheetViews>
  <sheetFormatPr defaultColWidth="8.796875" defaultRowHeight="14.25"/>
  <cols>
    <col min="1" max="1" width="10.19921875" style="0" bestFit="1" customWidth="1"/>
    <col min="2" max="2" width="3" style="0" customWidth="1"/>
    <col min="3" max="3" width="5.09765625" style="0" bestFit="1" customWidth="1"/>
    <col min="4" max="4" width="8.5" style="0" customWidth="1"/>
    <col min="5" max="5" width="5.09765625" style="0" bestFit="1" customWidth="1"/>
    <col min="6" max="6" width="7.59765625" style="0" customWidth="1"/>
    <col min="7" max="7" width="5.09765625" style="0" bestFit="1" customWidth="1"/>
    <col min="8" max="8" width="8" style="0" customWidth="1"/>
    <col min="9" max="9" width="5.09765625" style="0" bestFit="1" customWidth="1"/>
    <col min="11" max="11" width="5.09765625" style="0" bestFit="1" customWidth="1"/>
    <col min="12" max="12" width="7.8984375" style="0" customWidth="1"/>
    <col min="13" max="13" width="5.09765625" style="0" bestFit="1" customWidth="1"/>
    <col min="14" max="14" width="8.09765625" style="0" customWidth="1"/>
    <col min="15" max="15" width="5.09765625" style="0" bestFit="1" customWidth="1"/>
    <col min="16" max="16" width="7.8984375" style="0" customWidth="1"/>
    <col min="17" max="17" width="5.09765625" style="0" bestFit="1" customWidth="1"/>
    <col min="18" max="18" width="8" style="0" customWidth="1"/>
    <col min="19" max="19" width="7.69921875" style="0" customWidth="1"/>
    <col min="20" max="20" width="5.5" style="0" customWidth="1"/>
    <col min="21" max="21" width="7.09765625" style="0" bestFit="1" customWidth="1"/>
    <col min="22" max="22" width="5.8984375" style="0" customWidth="1"/>
    <col min="23" max="24" width="6" style="0" bestFit="1" customWidth="1"/>
    <col min="25" max="25" width="9" style="0" hidden="1" customWidth="1"/>
  </cols>
  <sheetData>
    <row r="1" spans="1:24" ht="16.5" customHeight="1">
      <c r="A1" s="89" t="s">
        <v>119</v>
      </c>
      <c r="B1" s="90"/>
      <c r="C1" s="87" t="str">
        <f>Constants!M3</f>
        <v>Cannock &amp; Staffs AC</v>
      </c>
      <c r="D1" s="88"/>
      <c r="E1" s="87" t="str">
        <f>Constants!M4</f>
        <v>Coventry Godiva Harriers &amp; Sphinx AC</v>
      </c>
      <c r="F1" s="91"/>
      <c r="G1" s="87" t="str">
        <f>Constants!M5</f>
        <v>Derby AC</v>
      </c>
      <c r="H1" s="88"/>
      <c r="I1" s="87" t="str">
        <f>Constants!M6</f>
        <v>Leicester Coritanian AC</v>
      </c>
      <c r="J1" s="88"/>
      <c r="K1" s="87" t="str">
        <f>Constants!M7</f>
        <v>Nuneaton Harriers</v>
      </c>
      <c r="L1" s="88"/>
      <c r="M1" s="87" t="str">
        <f>Constants!M8</f>
        <v>Rugby &amp; Northampton AC</v>
      </c>
      <c r="N1" s="88"/>
      <c r="O1" s="87" t="str">
        <f>Constants!M9</f>
        <v>Tamworth AC</v>
      </c>
      <c r="P1" s="88"/>
      <c r="Q1" s="87" t="str">
        <f>Constants!M10</f>
        <v>City of Stoke AC</v>
      </c>
      <c r="R1" s="88"/>
      <c r="S1" s="3"/>
      <c r="T1" s="3" t="s">
        <v>29</v>
      </c>
      <c r="U1" t="s">
        <v>27</v>
      </c>
      <c r="V1" t="s">
        <v>28</v>
      </c>
      <c r="W1" s="1" t="s">
        <v>50</v>
      </c>
      <c r="X1" s="1" t="s">
        <v>50</v>
      </c>
    </row>
    <row r="2" spans="1:24" ht="15.75">
      <c r="A2" s="7" t="s">
        <v>120</v>
      </c>
      <c r="B2" s="6"/>
      <c r="C2" s="92">
        <f>Constants!L3</f>
        <v>1</v>
      </c>
      <c r="D2" s="93"/>
      <c r="E2" s="92">
        <f>Constants!L4</f>
        <v>2</v>
      </c>
      <c r="F2" s="93"/>
      <c r="G2" s="92">
        <f>Constants!L5</f>
        <v>3</v>
      </c>
      <c r="H2" s="93"/>
      <c r="I2" s="92">
        <f>Constants!L6</f>
        <v>4</v>
      </c>
      <c r="J2" s="93"/>
      <c r="K2" s="92">
        <f>Constants!L7</f>
        <v>5</v>
      </c>
      <c r="L2" s="93"/>
      <c r="M2" s="92">
        <f>Constants!L8</f>
        <v>6</v>
      </c>
      <c r="N2" s="93"/>
      <c r="O2" s="92">
        <f>Constants!L9</f>
        <v>7</v>
      </c>
      <c r="P2" s="93"/>
      <c r="Q2" s="92">
        <f>Constants!L10</f>
        <v>8</v>
      </c>
      <c r="R2" s="93"/>
      <c r="S2" s="3"/>
      <c r="T2" s="3" t="s">
        <v>53</v>
      </c>
      <c r="U2" s="1" t="s">
        <v>53</v>
      </c>
      <c r="V2" s="1" t="s">
        <v>53</v>
      </c>
      <c r="W2" s="1" t="s">
        <v>51</v>
      </c>
      <c r="X2" s="1" t="s">
        <v>52</v>
      </c>
    </row>
    <row r="3" spans="1:24" ht="14.25">
      <c r="A3" s="7"/>
      <c r="B3" s="1"/>
      <c r="C3" s="3" t="s">
        <v>32</v>
      </c>
      <c r="D3" s="1" t="s">
        <v>31</v>
      </c>
      <c r="E3" s="3" t="s">
        <v>32</v>
      </c>
      <c r="F3" s="1" t="s">
        <v>31</v>
      </c>
      <c r="G3" s="3" t="s">
        <v>32</v>
      </c>
      <c r="H3" s="1" t="s">
        <v>31</v>
      </c>
      <c r="I3" s="3" t="s">
        <v>32</v>
      </c>
      <c r="J3" s="1" t="s">
        <v>31</v>
      </c>
      <c r="K3" s="3" t="s">
        <v>32</v>
      </c>
      <c r="L3" s="1" t="s">
        <v>31</v>
      </c>
      <c r="M3" s="3" t="s">
        <v>32</v>
      </c>
      <c r="N3" s="1" t="s">
        <v>31</v>
      </c>
      <c r="O3" s="3" t="s">
        <v>32</v>
      </c>
      <c r="P3" s="1" t="s">
        <v>31</v>
      </c>
      <c r="Q3" s="3" t="s">
        <v>32</v>
      </c>
      <c r="R3" s="1" t="s">
        <v>31</v>
      </c>
      <c r="S3" s="3"/>
      <c r="T3" s="3"/>
      <c r="U3" s="1"/>
      <c r="V3" s="1"/>
      <c r="W3" s="1"/>
      <c r="X3" s="1"/>
    </row>
    <row r="4" spans="1:25" ht="15" customHeight="1">
      <c r="A4" s="7" t="s">
        <v>18</v>
      </c>
      <c r="B4" t="s">
        <v>72</v>
      </c>
      <c r="C4" s="24"/>
      <c r="D4" s="9">
        <f>IF(C4&gt;0,LOOKUP(C4,Constants!$A$4:$A$40,Constants!$B$4:$B$40),)</f>
        <v>0</v>
      </c>
      <c r="E4" s="24">
        <v>6</v>
      </c>
      <c r="F4" s="9">
        <f>IF(E4&gt;0,LOOKUP(E4,Constants!$A$4:$A$40,Constants!$B$4:$B$40),)</f>
        <v>5</v>
      </c>
      <c r="G4" s="24">
        <v>5</v>
      </c>
      <c r="H4" s="9">
        <f>IF(G4&gt;0,LOOKUP(G4,Constants!$A$4:$A$40,Constants!$B$4:$B$40),)</f>
        <v>6</v>
      </c>
      <c r="I4" s="24">
        <v>2</v>
      </c>
      <c r="J4" s="9">
        <f>IF(I4&gt;0,LOOKUP(I4,Constants!$A$4:$A$40,Constants!$B$4:$B$40),)</f>
        <v>9</v>
      </c>
      <c r="K4" s="24"/>
      <c r="L4" s="9">
        <f>IF(K4&gt;0,LOOKUP(K4,Constants!$A$4:$A$40,Constants!$B$4:$B$40),)</f>
        <v>0</v>
      </c>
      <c r="M4" s="24">
        <v>4</v>
      </c>
      <c r="N4" s="9">
        <f>IF(M4&gt;0,LOOKUP(M4,Constants!$A$4:$A$40,Constants!$B$4:$B$40),)</f>
        <v>7</v>
      </c>
      <c r="O4" s="24">
        <v>3</v>
      </c>
      <c r="P4" s="9">
        <f>IF(O4&gt;0,LOOKUP(O4,Constants!$A$4:$A$40,Constants!$B$4:$B$40),)</f>
        <v>8</v>
      </c>
      <c r="Q4" s="24">
        <v>1</v>
      </c>
      <c r="R4" s="1">
        <f>IF(Q4&gt;0,LOOKUP(Q4,Constants!$A$4:$A$40,Constants!$B$4:$B$40),)</f>
        <v>11</v>
      </c>
      <c r="S4" s="4">
        <f>IF(ISNA(Y4),Constants!$O$1,"")</f>
      </c>
      <c r="T4" s="3">
        <f aca="true" t="shared" si="0" ref="T4:T25">D4+F4+H4+J4+L4+N4+P4+R4</f>
        <v>46</v>
      </c>
      <c r="U4" s="1">
        <f>IF(T4&gt;0,Constants!$G$3-T4,0)</f>
        <v>7</v>
      </c>
      <c r="V4" s="1">
        <f aca="true" t="shared" si="1" ref="V4:V25">D4+F4+H4+J4+L4+N4+P4+R4+U4</f>
        <v>53</v>
      </c>
      <c r="W4" s="12">
        <f>IF(V4&gt;0,0.5,0)</f>
        <v>0.5</v>
      </c>
      <c r="X4" s="12">
        <f>IF(V4=0,0.5,0)</f>
        <v>0</v>
      </c>
      <c r="Y4" t="str">
        <f>VLOOKUP(U4,Constants!$I$3:$J$11,2,FALSE)</f>
        <v> </v>
      </c>
    </row>
    <row r="5" spans="1:25" ht="14.25">
      <c r="A5" s="7"/>
      <c r="B5" t="s">
        <v>73</v>
      </c>
      <c r="C5" s="10"/>
      <c r="D5" s="1">
        <f>IF(C5&gt;0,LOOKUP(C5,Constants!$D$4:$D$40,Constants!$E$4:$E$40),)</f>
        <v>0</v>
      </c>
      <c r="E5" s="10">
        <v>1</v>
      </c>
      <c r="F5" s="1">
        <f>IF(E5&gt;0,LOOKUP(E5,Constants!$D$4:$D$40,Constants!$E$4:$E$40),)</f>
        <v>9</v>
      </c>
      <c r="G5" s="10">
        <v>2</v>
      </c>
      <c r="H5" s="1">
        <f>IF(G5&gt;0,LOOKUP(G5,Constants!$D$4:$D$40,Constants!$E$4:$E$40),)</f>
        <v>7</v>
      </c>
      <c r="I5" s="10"/>
      <c r="J5" s="1">
        <f>IF(I5&gt;0,LOOKUP(I5,Constants!$D$4:$D$40,Constants!$E$4:$E$40),)</f>
        <v>0</v>
      </c>
      <c r="K5" s="10"/>
      <c r="L5" s="1">
        <f>IF(K5&gt;0,LOOKUP(K5,Constants!$D$4:$D$40,Constants!$E$4:$E$40),)</f>
        <v>0</v>
      </c>
      <c r="M5" s="10">
        <v>4</v>
      </c>
      <c r="N5" s="1">
        <f>IF(M5&gt;0,LOOKUP(M5,Constants!$D$4:$E$40,Constants!$E$4:$E$40),)</f>
        <v>5</v>
      </c>
      <c r="O5" s="10">
        <v>3</v>
      </c>
      <c r="P5" s="1">
        <f>IF(O5&gt;0,LOOKUP(O5,Constants!$D$4:$D$40,Constants!$E$4:$E$40),)</f>
        <v>6</v>
      </c>
      <c r="Q5" s="10"/>
      <c r="R5" s="1">
        <f>IF(Q5&gt;0,LOOKUP(Q5,Constants!$D$4:$E$40,Constants!$E$4:$E$40),)</f>
        <v>0</v>
      </c>
      <c r="S5" s="4">
        <f>IF(ISNA(Y5),Constants!$O$1,"")</f>
      </c>
      <c r="T5" s="3">
        <f t="shared" si="0"/>
        <v>27</v>
      </c>
      <c r="U5" s="1">
        <f>IF(T5&gt;0,Constants!$G$16-T5,0)</f>
        <v>10</v>
      </c>
      <c r="V5" s="1">
        <f t="shared" si="1"/>
        <v>37</v>
      </c>
      <c r="W5" s="12">
        <f aca="true" t="shared" si="2" ref="W5:W37">IF(V5&gt;0,0.5,0)</f>
        <v>0.5</v>
      </c>
      <c r="X5" s="12">
        <f aca="true" t="shared" si="3" ref="X5:X36">IF(V5=0,0.5,0)</f>
        <v>0</v>
      </c>
      <c r="Y5" t="str">
        <f>VLOOKUP(U5,Constants!$I$16:$J$24,2,FALSE)</f>
        <v> </v>
      </c>
    </row>
    <row r="6" spans="1:25" ht="14.25">
      <c r="A6" s="7" t="s">
        <v>19</v>
      </c>
      <c r="B6" t="s">
        <v>72</v>
      </c>
      <c r="C6" s="10"/>
      <c r="D6" s="1">
        <f>IF(C6&gt;0,LOOKUP(C6,Constants!$A$4:$A$40,Constants!$B$4:$B$40),)</f>
        <v>0</v>
      </c>
      <c r="E6" s="10">
        <v>4</v>
      </c>
      <c r="F6" s="1">
        <f>IF(E6&gt;0,LOOKUP(E6,Constants!$A$4:$A$40,Constants!$B$4:$B$40),)</f>
        <v>7</v>
      </c>
      <c r="G6" s="10">
        <v>6</v>
      </c>
      <c r="H6" s="1">
        <f>IF(G6&gt;0,LOOKUP(G6,Constants!$A$4:$A$40,Constants!$B$4:$B$40),)</f>
        <v>5</v>
      </c>
      <c r="I6" s="10">
        <v>3</v>
      </c>
      <c r="J6" s="1">
        <f>IF(I6&gt;0,LOOKUP(I6,Constants!$A$4:$A$40,Constants!$B$4:$B$40),)</f>
        <v>8</v>
      </c>
      <c r="K6" s="10"/>
      <c r="L6" s="1">
        <f>IF(K6&gt;0,LOOKUP(K6,Constants!$A$4:$A$40,Constants!$B$4:$B$40),)</f>
        <v>0</v>
      </c>
      <c r="M6" s="10">
        <v>5</v>
      </c>
      <c r="N6" s="1">
        <f>IF(M6&gt;0,LOOKUP(M6,Constants!$A$4:$A$40,Constants!$B$4:$B$40),)</f>
        <v>6</v>
      </c>
      <c r="O6" s="10">
        <v>2</v>
      </c>
      <c r="P6" s="1">
        <f>IF(O6&gt;0,LOOKUP(O6,Constants!$A$4:$A$40,Constants!$B$4:$B$40),)</f>
        <v>9</v>
      </c>
      <c r="Q6" s="10">
        <v>1</v>
      </c>
      <c r="R6" s="1">
        <f>IF(Q6&gt;0,LOOKUP(Q6,Constants!$A$4:$A$40,Constants!$B$4:$B$40),)</f>
        <v>11</v>
      </c>
      <c r="S6" s="4">
        <f>IF(ISNA(Y6),Constants!$O$1,"")</f>
      </c>
      <c r="T6" s="3">
        <f t="shared" si="0"/>
        <v>46</v>
      </c>
      <c r="U6" s="1">
        <f>IF(T6&gt;0,Constants!$G$3-T6,0)</f>
        <v>7</v>
      </c>
      <c r="V6" s="1">
        <f t="shared" si="1"/>
        <v>53</v>
      </c>
      <c r="W6" s="12">
        <f t="shared" si="2"/>
        <v>0.5</v>
      </c>
      <c r="X6" s="12">
        <f t="shared" si="3"/>
        <v>0</v>
      </c>
      <c r="Y6" t="str">
        <f>VLOOKUP(U6,Constants!$I$3:$J$11,2,FALSE)</f>
        <v> </v>
      </c>
    </row>
    <row r="7" spans="1:25" ht="14.25">
      <c r="A7" s="7"/>
      <c r="B7" t="s">
        <v>73</v>
      </c>
      <c r="C7" s="10"/>
      <c r="D7" s="1">
        <f>IF(C7&gt;0,LOOKUP(C7,Constants!$D$4:$D$40,Constants!$E$4:$E$40),)</f>
        <v>0</v>
      </c>
      <c r="E7" s="10">
        <v>3</v>
      </c>
      <c r="F7" s="1">
        <f>IF(E7&gt;0,LOOKUP(E7,Constants!$D$4:$D$40,Constants!$E$4:$E$40),)</f>
        <v>6</v>
      </c>
      <c r="G7" s="10">
        <v>2</v>
      </c>
      <c r="H7" s="1">
        <f>IF(G7&gt;0,LOOKUP(G7,Constants!$D$4:$D$40,Constants!$E$4:$E$40),)</f>
        <v>7</v>
      </c>
      <c r="I7" s="10"/>
      <c r="J7" s="1">
        <f>IF(I7&gt;0,LOOKUP(I7,Constants!$D$4:$D$40,Constants!$E$4:$E$40),)</f>
        <v>0</v>
      </c>
      <c r="K7" s="10"/>
      <c r="L7" s="1">
        <f>IF(K7&gt;0,LOOKUP(K7,Constants!$D$4:$D$40,Constants!$E$4:$E$40),)</f>
        <v>0</v>
      </c>
      <c r="M7" s="10">
        <v>4</v>
      </c>
      <c r="N7" s="1">
        <f>IF(M7&gt;0,LOOKUP(M7,Constants!$D$4:$E$40,Constants!$E$4:$E$40),)</f>
        <v>5</v>
      </c>
      <c r="O7" s="10">
        <v>1</v>
      </c>
      <c r="P7" s="1">
        <f>IF(O7&gt;0,LOOKUP(O7,Constants!$D$4:$D$40,Constants!$E$4:$E$40),)</f>
        <v>9</v>
      </c>
      <c r="Q7" s="10"/>
      <c r="R7" s="1">
        <f>IF(Q7&gt;0,LOOKUP(Q7,Constants!$D$4:$E$40,Constants!$E$4:$E$40),)</f>
        <v>0</v>
      </c>
      <c r="S7" s="4">
        <f>IF(ISNA(Y7),Constants!$O$1,"")</f>
      </c>
      <c r="T7" s="3">
        <f t="shared" si="0"/>
        <v>27</v>
      </c>
      <c r="U7" s="1">
        <f>IF(T7&gt;0,Constants!$G$16-T7,0)</f>
        <v>10</v>
      </c>
      <c r="V7" s="1">
        <f t="shared" si="1"/>
        <v>37</v>
      </c>
      <c r="W7" s="12">
        <f t="shared" si="2"/>
        <v>0.5</v>
      </c>
      <c r="X7" s="12">
        <f>IF(V7=0,0.5,0)</f>
        <v>0</v>
      </c>
      <c r="Y7" t="str">
        <f>VLOOKUP(U7,Constants!$I$16:$J$24,2,FALSE)</f>
        <v> </v>
      </c>
    </row>
    <row r="8" spans="1:25" ht="14.25">
      <c r="A8" s="7" t="s">
        <v>20</v>
      </c>
      <c r="B8" t="s">
        <v>72</v>
      </c>
      <c r="C8" s="10"/>
      <c r="D8" s="1">
        <f>IF(C8&gt;0,LOOKUP(C8,Constants!$A$4:$A$40,Constants!$B$4:$B$40),)</f>
        <v>0</v>
      </c>
      <c r="E8" s="10">
        <v>1</v>
      </c>
      <c r="F8" s="1">
        <f>IF(E8&gt;0,LOOKUP(E8,Constants!$A$4:$A$40,Constants!$B$4:$B$40),)</f>
        <v>11</v>
      </c>
      <c r="G8" s="10">
        <v>5</v>
      </c>
      <c r="H8" s="1">
        <f>IF(G8&gt;0,LOOKUP(G8,Constants!$A$4:$A$40,Constants!$B$4:$B$40),)</f>
        <v>6</v>
      </c>
      <c r="I8" s="10"/>
      <c r="J8" s="1">
        <f>IF(I8&gt;0,LOOKUP(I8,Constants!$A$4:$A$40,Constants!$B$4:$B$40),)</f>
        <v>0</v>
      </c>
      <c r="K8" s="10"/>
      <c r="L8" s="1">
        <f>IF(K8&gt;0,LOOKUP(K8,Constants!$A$4:$A$40,Constants!$B$4:$B$40),)</f>
        <v>0</v>
      </c>
      <c r="M8" s="10">
        <v>3</v>
      </c>
      <c r="N8" s="1">
        <f>IF(M8&gt;0,LOOKUP(M8,Constants!$A$4:$A$40,Constants!$B$4:$B$40),)</f>
        <v>8</v>
      </c>
      <c r="O8" s="10">
        <v>2</v>
      </c>
      <c r="P8" s="1">
        <f>IF(O8&gt;0,LOOKUP(O8,Constants!$A$4:$A$40,Constants!$B$4:$B$40),)</f>
        <v>9</v>
      </c>
      <c r="Q8" s="10">
        <v>4</v>
      </c>
      <c r="R8" s="1">
        <f>IF(Q8&gt;0,LOOKUP(Q8,Constants!$A$4:$A$40,Constants!$B$4:$B$40),)</f>
        <v>7</v>
      </c>
      <c r="S8" s="4">
        <f>IF(ISNA(Y8),Constants!$O$1,"")</f>
      </c>
      <c r="T8" s="3">
        <f t="shared" si="0"/>
        <v>41</v>
      </c>
      <c r="U8" s="1">
        <f>IF(T8&gt;0,Constants!$G$3-T8,0)</f>
        <v>12</v>
      </c>
      <c r="V8" s="1">
        <f t="shared" si="1"/>
        <v>53</v>
      </c>
      <c r="W8" s="12">
        <f t="shared" si="2"/>
        <v>0.5</v>
      </c>
      <c r="X8" s="12">
        <f t="shared" si="3"/>
        <v>0</v>
      </c>
      <c r="Y8" t="str">
        <f>VLOOKUP(U8,Constants!$I$3:$J$11,2,FALSE)</f>
        <v> </v>
      </c>
    </row>
    <row r="9" spans="1:25" ht="14.25">
      <c r="A9" s="7"/>
      <c r="B9" t="s">
        <v>73</v>
      </c>
      <c r="C9" s="10"/>
      <c r="D9" s="1">
        <f>IF(C9&gt;0,LOOKUP(C9,Constants!$D$4:$D$40,Constants!$E$4:$E$40),)</f>
        <v>0</v>
      </c>
      <c r="E9" s="10">
        <v>3</v>
      </c>
      <c r="F9" s="1">
        <f>IF(E9&gt;0,LOOKUP(E9,Constants!$D$4:$D$40,Constants!$E$4:$E$40),)</f>
        <v>6</v>
      </c>
      <c r="G9" s="10">
        <v>5</v>
      </c>
      <c r="H9" s="1">
        <f>IF(G9&gt;0,LOOKUP(G9,Constants!$D$4:$D$40,Constants!$E$4:$E$40),)</f>
        <v>4</v>
      </c>
      <c r="I9" s="10"/>
      <c r="J9" s="1">
        <f>IF(I9&gt;0,LOOKUP(I9,Constants!$D$4:$D$40,Constants!$E$4:$E$40),)</f>
        <v>0</v>
      </c>
      <c r="K9" s="10"/>
      <c r="L9" s="1">
        <f>IF(K9&gt;0,LOOKUP(K9,Constants!$D$4:$D$40,Constants!$E$4:$E$40),)</f>
        <v>0</v>
      </c>
      <c r="M9" s="10">
        <v>2</v>
      </c>
      <c r="N9" s="1">
        <f>IF(M9&gt;0,LOOKUP(M9,Constants!$D$4:$E$40,Constants!$E$4:$E$40),)</f>
        <v>7</v>
      </c>
      <c r="O9" s="10">
        <v>1</v>
      </c>
      <c r="P9" s="1">
        <f>IF(O9&gt;0,LOOKUP(O9,Constants!$D$4:$D$40,Constants!$E$4:$E$40),)</f>
        <v>9</v>
      </c>
      <c r="Q9" s="10">
        <v>4</v>
      </c>
      <c r="R9" s="1">
        <f>IF(Q9&gt;0,LOOKUP(Q9,Constants!$D$4:$E$40,Constants!$E$4:$E$40),)</f>
        <v>5</v>
      </c>
      <c r="S9" s="4">
        <f>IF(ISNA(Y9),Constants!$O$1,"")</f>
      </c>
      <c r="T9" s="3">
        <f t="shared" si="0"/>
        <v>31</v>
      </c>
      <c r="U9" s="1">
        <f>IF(T9&gt;0,Constants!$G$16-T9,0)</f>
        <v>6</v>
      </c>
      <c r="V9" s="1">
        <f t="shared" si="1"/>
        <v>37</v>
      </c>
      <c r="W9" s="12">
        <f t="shared" si="2"/>
        <v>0.5</v>
      </c>
      <c r="X9" s="12">
        <f>IF(V9=0,0.5,0)</f>
        <v>0</v>
      </c>
      <c r="Y9" t="str">
        <f>VLOOKUP(U9,Constants!$I$16:$J$24,2,FALSE)</f>
        <v> </v>
      </c>
    </row>
    <row r="10" spans="1:25" ht="14.25">
      <c r="A10" s="7" t="s">
        <v>21</v>
      </c>
      <c r="B10" t="s">
        <v>72</v>
      </c>
      <c r="C10" s="10">
        <v>1</v>
      </c>
      <c r="D10" s="1">
        <f>IF(C10&gt;0,LOOKUP(C10,Constants!$A$4:$A$40,Constants!$B$4:$B$40),)</f>
        <v>11</v>
      </c>
      <c r="E10" s="10">
        <v>5</v>
      </c>
      <c r="F10" s="1">
        <f>IF(E10&gt;0,LOOKUP(E10,Constants!$A$4:$A$40,Constants!$B$4:$B$40),)</f>
        <v>6</v>
      </c>
      <c r="G10" s="10">
        <v>2</v>
      </c>
      <c r="H10" s="1">
        <f>IF(G10&gt;0,LOOKUP(G10,Constants!$A$4:$A$40,Constants!$B$4:$B$40),)</f>
        <v>9</v>
      </c>
      <c r="I10" s="10"/>
      <c r="J10" s="1">
        <f>IF(I10&gt;0,LOOKUP(I10,Constants!$A$4:$A$40,Constants!$B$4:$B$40),)</f>
        <v>0</v>
      </c>
      <c r="K10" s="10">
        <v>7</v>
      </c>
      <c r="L10" s="1">
        <f>IF(K10&gt;0,LOOKUP(K10,Constants!$A$4:$A$40,Constants!$B$4:$B$40),)</f>
        <v>4</v>
      </c>
      <c r="M10" s="10">
        <v>4</v>
      </c>
      <c r="N10" s="1">
        <f>IF(M10&gt;0,LOOKUP(M10,Constants!$A$4:$A$40,Constants!$B$4:$B$40),)</f>
        <v>7</v>
      </c>
      <c r="O10" s="10">
        <v>6</v>
      </c>
      <c r="P10" s="1">
        <f>IF(O10&gt;0,LOOKUP(O10,Constants!$A$4:$A$40,Constants!$B$4:$B$40),)</f>
        <v>5</v>
      </c>
      <c r="Q10" s="10">
        <v>3</v>
      </c>
      <c r="R10" s="1">
        <f>IF(Q10&gt;0,LOOKUP(Q10,Constants!$A$4:$A$40,Constants!$B$4:$B$40),)</f>
        <v>8</v>
      </c>
      <c r="S10" s="4">
        <f>IF(ISNA(Y10),Constants!$O$1,"")</f>
      </c>
      <c r="T10" s="3">
        <f t="shared" si="0"/>
        <v>50</v>
      </c>
      <c r="U10" s="1">
        <f>IF(T10&gt;0,Constants!$G$3-T10,0)</f>
        <v>3</v>
      </c>
      <c r="V10" s="1">
        <f t="shared" si="1"/>
        <v>53</v>
      </c>
      <c r="W10" s="12">
        <f t="shared" si="2"/>
        <v>0.5</v>
      </c>
      <c r="X10" s="12">
        <f t="shared" si="3"/>
        <v>0</v>
      </c>
      <c r="Y10" t="str">
        <f>VLOOKUP(U10,Constants!$I$3:$J$11,2,FALSE)</f>
        <v> </v>
      </c>
    </row>
    <row r="11" spans="1:25" ht="14.25">
      <c r="A11" s="7"/>
      <c r="B11" t="s">
        <v>73</v>
      </c>
      <c r="C11" s="10">
        <v>2</v>
      </c>
      <c r="D11" s="1">
        <f>IF(C11&gt;0,LOOKUP(C11,Constants!$D$4:$D$40,Constants!$E$4:$E$40),)</f>
        <v>7</v>
      </c>
      <c r="E11" s="10">
        <v>1</v>
      </c>
      <c r="F11" s="1">
        <f>IF(E11&gt;0,LOOKUP(E11,Constants!$D$4:$D$40,Constants!$E$4:$E$40),)</f>
        <v>9</v>
      </c>
      <c r="G11" s="10">
        <v>3</v>
      </c>
      <c r="H11" s="1">
        <f>IF(G11&gt;0,LOOKUP(G11,Constants!$D$4:$D$40,Constants!$E$4:$E$40),)</f>
        <v>6</v>
      </c>
      <c r="I11" s="10"/>
      <c r="J11" s="1">
        <f>IF(I11&gt;0,LOOKUP(I11,Constants!$D$4:$D$40,Constants!$E$4:$E$40),)</f>
        <v>0</v>
      </c>
      <c r="K11" s="10"/>
      <c r="L11" s="1">
        <f>IF(K11&gt;0,LOOKUP(K11,Constants!$D$4:$D$40,Constants!$E$4:$E$40),)</f>
        <v>0</v>
      </c>
      <c r="M11" s="10"/>
      <c r="N11" s="1">
        <f>IF(M11&gt;0,LOOKUP(M11,Constants!$D$4:$E$40,Constants!$E$4:$E$40),)</f>
        <v>0</v>
      </c>
      <c r="O11" s="10">
        <v>4</v>
      </c>
      <c r="P11" s="1">
        <f>IF(O11&gt;0,LOOKUP(O11,Constants!$D$4:$D$40,Constants!$E$4:$E$40),)</f>
        <v>5</v>
      </c>
      <c r="Q11" s="10"/>
      <c r="R11" s="1">
        <f>IF(Q11&gt;0,LOOKUP(Q11,Constants!$D$4:$E$40,Constants!$E$4:$E$40),)</f>
        <v>0</v>
      </c>
      <c r="S11" s="4">
        <f>IF(ISNA(Y11),Constants!$O$1,"")</f>
      </c>
      <c r="T11" s="3">
        <f t="shared" si="0"/>
        <v>27</v>
      </c>
      <c r="U11" s="1">
        <f>IF(T11&gt;0,Constants!$G$16-T11,0)</f>
        <v>10</v>
      </c>
      <c r="V11" s="1">
        <f t="shared" si="1"/>
        <v>37</v>
      </c>
      <c r="W11" s="12">
        <f t="shared" si="2"/>
        <v>0.5</v>
      </c>
      <c r="X11" s="12">
        <f>IF(V11=0,0.5,0)</f>
        <v>0</v>
      </c>
      <c r="Y11" t="str">
        <f>VLOOKUP(U11,Constants!$I$16:$J$24,2,FALSE)</f>
        <v> </v>
      </c>
    </row>
    <row r="12" spans="1:25" ht="14.25">
      <c r="A12" s="7" t="s">
        <v>22</v>
      </c>
      <c r="B12" t="s">
        <v>72</v>
      </c>
      <c r="C12" s="10">
        <v>2</v>
      </c>
      <c r="D12" s="1">
        <f>IF(C12&gt;0,LOOKUP(C12,Constants!$A$4:$A$40,Constants!$B$4:$B$40),)</f>
        <v>9</v>
      </c>
      <c r="E12" s="10">
        <v>1</v>
      </c>
      <c r="F12" s="1">
        <f>IF(E12&gt;0,LOOKUP(E12,Constants!$A$4:$A$40,Constants!$B$4:$B$40),)</f>
        <v>11</v>
      </c>
      <c r="G12" s="10">
        <v>5</v>
      </c>
      <c r="H12" s="1">
        <f>IF(G12&gt;0,LOOKUP(G12,Constants!$A$4:$A$40,Constants!$B$4:$B$40),)</f>
        <v>6</v>
      </c>
      <c r="I12" s="10">
        <v>6</v>
      </c>
      <c r="J12" s="1">
        <f>IF(I12&gt;0,LOOKUP(I12,Constants!$A$4:$A$40,Constants!$B$4:$B$40),)</f>
        <v>5</v>
      </c>
      <c r="K12" s="10"/>
      <c r="L12" s="1">
        <f>IF(K12&gt;0,LOOKUP(K12,Constants!$A$4:$A$40,Constants!$B$4:$B$40),)</f>
        <v>0</v>
      </c>
      <c r="M12" s="10">
        <v>3</v>
      </c>
      <c r="N12" s="1">
        <f>IF(M12&gt;0,LOOKUP(M12,Constants!$A$4:$A$40,Constants!$B$4:$B$40),)</f>
        <v>8</v>
      </c>
      <c r="O12" s="10">
        <v>7</v>
      </c>
      <c r="P12" s="1">
        <f>IF(O12&gt;0,LOOKUP(O12,Constants!$A$4:$A$40,Constants!$B$4:$B$40),)</f>
        <v>4</v>
      </c>
      <c r="Q12" s="10">
        <v>4</v>
      </c>
      <c r="R12" s="1">
        <f>IF(Q12&gt;0,LOOKUP(Q12,Constants!$A$4:$A$40,Constants!$B$4:$B$40),)</f>
        <v>7</v>
      </c>
      <c r="S12" s="4">
        <f>IF(ISNA(Y12),Constants!$O$1,"")</f>
      </c>
      <c r="T12" s="3">
        <f t="shared" si="0"/>
        <v>50</v>
      </c>
      <c r="U12" s="1">
        <f>IF(T12&gt;0,Constants!$G$3-T12,0)</f>
        <v>3</v>
      </c>
      <c r="V12" s="1">
        <f t="shared" si="1"/>
        <v>53</v>
      </c>
      <c r="W12" s="12">
        <f t="shared" si="2"/>
        <v>0.5</v>
      </c>
      <c r="X12" s="12">
        <f t="shared" si="3"/>
        <v>0</v>
      </c>
      <c r="Y12" t="str">
        <f>VLOOKUP(U12,Constants!$I$3:$J$11,2,FALSE)</f>
        <v> </v>
      </c>
    </row>
    <row r="13" spans="1:25" ht="14.25">
      <c r="A13" s="7"/>
      <c r="B13" t="s">
        <v>73</v>
      </c>
      <c r="C13" s="10">
        <v>1</v>
      </c>
      <c r="D13" s="1">
        <f>IF(C13&gt;0,LOOKUP(C13,Constants!$D$4:$D$40,Constants!$E$4:$E$40),)</f>
        <v>9</v>
      </c>
      <c r="E13" s="10">
        <v>2</v>
      </c>
      <c r="F13" s="1">
        <f>IF(E13&gt;0,LOOKUP(E13,Constants!$D$4:$D$40,Constants!$E$4:$E$40),)</f>
        <v>7</v>
      </c>
      <c r="G13" s="10">
        <v>4</v>
      </c>
      <c r="H13" s="1">
        <f>IF(G13&gt;0,LOOKUP(G13,Constants!$D$4:$D$40,Constants!$E$4:$E$40),)</f>
        <v>5</v>
      </c>
      <c r="I13" s="10"/>
      <c r="J13" s="1">
        <f>IF(I13&gt;0,LOOKUP(I13,Constants!$D$4:$D$40,Constants!$E$4:$E$40),)</f>
        <v>0</v>
      </c>
      <c r="K13" s="10"/>
      <c r="L13" s="1">
        <f>IF(K13&gt;0,LOOKUP(K13,Constants!$D$4:$D$40,Constants!$E$4:$E$40),)</f>
        <v>0</v>
      </c>
      <c r="M13" s="10">
        <v>3</v>
      </c>
      <c r="N13" s="1">
        <f>IF(M13&gt;0,LOOKUP(M13,Constants!$D$4:$E$40,Constants!$E$4:$E$40),)</f>
        <v>6</v>
      </c>
      <c r="O13" s="10">
        <v>5</v>
      </c>
      <c r="P13" s="1">
        <f>IF(O13&gt;0,LOOKUP(O13,Constants!$D$4:$D$40,Constants!$E$4:$E$40),)</f>
        <v>4</v>
      </c>
      <c r="Q13" s="10"/>
      <c r="R13" s="1">
        <f>IF(Q13&gt;0,LOOKUP(Q13,Constants!$D$4:$E$40,Constants!$E$4:$E$40),)</f>
        <v>0</v>
      </c>
      <c r="S13" s="4">
        <f>IF(ISNA(Y13),Constants!$O$1,"")</f>
      </c>
      <c r="T13" s="3">
        <f t="shared" si="0"/>
        <v>31</v>
      </c>
      <c r="U13" s="1">
        <f>IF(T13&gt;0,Constants!$G$16-T13,0)</f>
        <v>6</v>
      </c>
      <c r="V13" s="1">
        <f t="shared" si="1"/>
        <v>37</v>
      </c>
      <c r="W13" s="12">
        <f t="shared" si="2"/>
        <v>0.5</v>
      </c>
      <c r="X13" s="12">
        <f>IF(V13=0,0.5,0)</f>
        <v>0</v>
      </c>
      <c r="Y13" t="str">
        <f>VLOOKUP(U13,Constants!$I$16:$J$24,2,FALSE)</f>
        <v> </v>
      </c>
    </row>
    <row r="14" spans="1:25" ht="14.25">
      <c r="A14" s="7" t="s">
        <v>129</v>
      </c>
      <c r="B14" t="s">
        <v>72</v>
      </c>
      <c r="C14" s="10">
        <v>6</v>
      </c>
      <c r="D14" s="1">
        <f>IF(C14&gt;0,LOOKUP(C14,Constants!$A$4:$A$40,Constants!$B$4:$B$40),)</f>
        <v>5</v>
      </c>
      <c r="E14" s="10">
        <v>3</v>
      </c>
      <c r="F14" s="1">
        <f>IF(E14&gt;0,LOOKUP(E14,Constants!$A$4:$A$40,Constants!$B$4:$B$40),)</f>
        <v>8</v>
      </c>
      <c r="G14" s="10">
        <v>2</v>
      </c>
      <c r="H14" s="1">
        <f>IF(G14&gt;0,LOOKUP(G14,Constants!$A$4:$A$40,Constants!$B$4:$B$40),)</f>
        <v>9</v>
      </c>
      <c r="I14" s="10"/>
      <c r="J14" s="1">
        <f>IF(I14&gt;0,LOOKUP(I14,Constants!$A$4:$A$40,Constants!$B$4:$B$40),)</f>
        <v>0</v>
      </c>
      <c r="K14" s="10"/>
      <c r="L14" s="1">
        <f>IF(K14&gt;0,LOOKUP(K14,Constants!$A$4:$A$40,Constants!$B$4:$B$40),)</f>
        <v>0</v>
      </c>
      <c r="M14" s="10">
        <v>5</v>
      </c>
      <c r="N14" s="1">
        <f>IF(M14&gt;0,LOOKUP(M14,Constants!$A$4:$A$40,Constants!$B$4:$B$40),)</f>
        <v>6</v>
      </c>
      <c r="O14" s="10">
        <v>4</v>
      </c>
      <c r="P14" s="1">
        <f>IF(O14&gt;0,LOOKUP(O14,Constants!$A$4:$A$40,Constants!$B$4:$B$40),)</f>
        <v>7</v>
      </c>
      <c r="Q14" s="10">
        <v>1</v>
      </c>
      <c r="R14" s="1">
        <f>IF(Q14&gt;0,LOOKUP(Q14,Constants!$A$4:$A$40,Constants!$B$4:$B$40),)</f>
        <v>11</v>
      </c>
      <c r="S14" s="4">
        <f>IF(ISNA(Y14),Constants!$O$1,"")</f>
      </c>
      <c r="T14" s="3">
        <f t="shared" si="0"/>
        <v>46</v>
      </c>
      <c r="U14" s="1">
        <f>IF(T14&gt;0,Constants!$G$3-T14,0)</f>
        <v>7</v>
      </c>
      <c r="V14" s="1">
        <f t="shared" si="1"/>
        <v>53</v>
      </c>
      <c r="W14" s="12">
        <f t="shared" si="2"/>
        <v>0.5</v>
      </c>
      <c r="X14" s="12">
        <f t="shared" si="3"/>
        <v>0</v>
      </c>
      <c r="Y14" t="str">
        <f>VLOOKUP(U14,Constants!$I$3:$J$11,2,FALSE)</f>
        <v> </v>
      </c>
    </row>
    <row r="15" spans="1:25" ht="14.25">
      <c r="A15" s="7"/>
      <c r="B15" t="s">
        <v>73</v>
      </c>
      <c r="C15" s="10"/>
      <c r="D15" s="1">
        <f>IF(C15&gt;0,LOOKUP(C15,Constants!$D$4:$D$40,Constants!$E$4:$E$40),)</f>
        <v>0</v>
      </c>
      <c r="E15" s="10">
        <v>3</v>
      </c>
      <c r="F15" s="1">
        <f>IF(E15&gt;0,LOOKUP(E15,Constants!$D$4:$D$40,Constants!$E$4:$E$40),)</f>
        <v>6</v>
      </c>
      <c r="G15" s="10">
        <v>2</v>
      </c>
      <c r="H15" s="1">
        <f>IF(G15&gt;0,LOOKUP(G15,Constants!$D$4:$D$40,Constants!$E$4:$E$40),)</f>
        <v>7</v>
      </c>
      <c r="I15" s="10"/>
      <c r="J15" s="1">
        <f>IF(I15&gt;0,LOOKUP(I15,Constants!$D$4:$D$40,Constants!$E$4:$E$40),)</f>
        <v>0</v>
      </c>
      <c r="K15" s="10"/>
      <c r="L15" s="1">
        <f>IF(K15&gt;0,LOOKUP(K15,Constants!$D$4:$D$40,Constants!$E$4:$E$40),)</f>
        <v>0</v>
      </c>
      <c r="M15" s="10">
        <v>4</v>
      </c>
      <c r="N15" s="1">
        <f>IF(M15&gt;0,LOOKUP(M15,Constants!$D$4:$E$40,Constants!$E$4:$E$40),)</f>
        <v>5</v>
      </c>
      <c r="O15" s="10">
        <v>5</v>
      </c>
      <c r="P15" s="1">
        <f>IF(O15&gt;0,LOOKUP(O15,Constants!$D$4:$D$40,Constants!$E$4:$E$40),)</f>
        <v>4</v>
      </c>
      <c r="Q15" s="10">
        <v>1</v>
      </c>
      <c r="R15" s="1">
        <f>IF(Q15&gt;0,LOOKUP(Q15,Constants!$D$4:$E$40,Constants!$E$4:$E$40),)</f>
        <v>9</v>
      </c>
      <c r="S15" s="4">
        <f>IF(ISNA(Y15),Constants!$O$1,"")</f>
      </c>
      <c r="T15" s="3">
        <f t="shared" si="0"/>
        <v>31</v>
      </c>
      <c r="U15" s="1">
        <f>IF(T15&gt;0,Constants!$G$16-T15,0)</f>
        <v>6</v>
      </c>
      <c r="V15" s="1">
        <f t="shared" si="1"/>
        <v>37</v>
      </c>
      <c r="W15" s="12">
        <f t="shared" si="2"/>
        <v>0.5</v>
      </c>
      <c r="X15" s="12">
        <f>IF(V15=0,0.5,0)</f>
        <v>0</v>
      </c>
      <c r="Y15" t="str">
        <f>VLOOKUP(U15,Constants!$I$16:$J$24,2,FALSE)</f>
        <v> </v>
      </c>
    </row>
    <row r="16" spans="1:25" ht="14.25">
      <c r="A16" s="7" t="s">
        <v>130</v>
      </c>
      <c r="B16" t="s">
        <v>72</v>
      </c>
      <c r="C16" s="10"/>
      <c r="D16" s="1">
        <f>IF(C16&gt;0,LOOKUP(C16,Constants!$A$4:$A$40,Constants!$B$4:$B$40),)</f>
        <v>0</v>
      </c>
      <c r="E16" s="10">
        <v>3</v>
      </c>
      <c r="F16" s="1">
        <f>IF(E16&gt;0,LOOKUP(E16,Constants!$A$4:$A$40,Constants!$B$4:$B$40),)</f>
        <v>8</v>
      </c>
      <c r="G16" s="10">
        <v>2</v>
      </c>
      <c r="H16" s="1">
        <f>IF(G16&gt;0,LOOKUP(G16,Constants!$A$4:$A$40,Constants!$B$4:$B$40),)</f>
        <v>9</v>
      </c>
      <c r="I16" s="10"/>
      <c r="J16" s="1">
        <f>IF(I16&gt;0,LOOKUP(I16,Constants!$A$4:$A$40,Constants!$B$4:$B$40),)</f>
        <v>0</v>
      </c>
      <c r="K16" s="10">
        <v>4</v>
      </c>
      <c r="L16" s="1">
        <f>IF(K16&gt;0,LOOKUP(K16,Constants!$A$4:$A$40,Constants!$B$4:$B$40),)</f>
        <v>7</v>
      </c>
      <c r="M16" s="10">
        <v>1</v>
      </c>
      <c r="N16" s="1">
        <f>IF(M16&gt;0,LOOKUP(M16,Constants!$A$4:$A$40,Constants!$B$4:$B$40),)</f>
        <v>11</v>
      </c>
      <c r="O16" s="10">
        <v>5</v>
      </c>
      <c r="P16" s="1">
        <f>IF(O16&gt;0,LOOKUP(O16,Constants!$A$4:$A$40,Constants!$B$4:$B$40),)</f>
        <v>6</v>
      </c>
      <c r="Q16" s="10"/>
      <c r="R16" s="1">
        <f>IF(Q16&gt;0,LOOKUP(Q16,Constants!$A$4:$A$40,Constants!$B$4:$B$40),)</f>
        <v>0</v>
      </c>
      <c r="S16" s="4">
        <f>IF(ISNA(Y16),Constants!$O$1,"")</f>
      </c>
      <c r="T16" s="3">
        <f t="shared" si="0"/>
        <v>41</v>
      </c>
      <c r="U16" s="1">
        <f>IF(T16&gt;0,Constants!$G$3-T16,0)</f>
        <v>12</v>
      </c>
      <c r="V16" s="1">
        <f t="shared" si="1"/>
        <v>53</v>
      </c>
      <c r="W16" s="12">
        <f t="shared" si="2"/>
        <v>0.5</v>
      </c>
      <c r="X16" s="12">
        <f>IF(V16=0,0.5,0)</f>
        <v>0</v>
      </c>
      <c r="Y16" t="str">
        <f>VLOOKUP(U16,Constants!$I$3:$J$11,2,FALSE)</f>
        <v> </v>
      </c>
    </row>
    <row r="17" spans="1:25" ht="14.25">
      <c r="A17" s="7"/>
      <c r="B17" t="s">
        <v>73</v>
      </c>
      <c r="C17" s="10"/>
      <c r="D17" s="1">
        <f>IF(C17&gt;0,LOOKUP(C17,Constants!$D$4:$D$40,Constants!$E$4:$E$40),)</f>
        <v>0</v>
      </c>
      <c r="E17" s="10">
        <v>1</v>
      </c>
      <c r="F17" s="1">
        <f>IF(E17&gt;0,LOOKUP(E17,Constants!$D$4:$D$40,Constants!$E$4:$E$40),)</f>
        <v>9</v>
      </c>
      <c r="G17" s="10"/>
      <c r="H17" s="1">
        <f>IF(G17&gt;0,LOOKUP(G17,Constants!$D$4:$D$40,Constants!$E$4:$E$40),)</f>
        <v>0</v>
      </c>
      <c r="I17" s="10"/>
      <c r="J17" s="1">
        <f>IF(I17&gt;0,LOOKUP(I17,Constants!$D$4:$D$40,Constants!$E$4:$E$40),)</f>
        <v>0</v>
      </c>
      <c r="K17" s="10"/>
      <c r="L17" s="1">
        <f>IF(K17&gt;0,LOOKUP(K17,Constants!$D$4:$D$40,Constants!$E$4:$E$40),)</f>
        <v>0</v>
      </c>
      <c r="M17" s="10"/>
      <c r="N17" s="1">
        <f>IF(M17&gt;0,LOOKUP(M17,Constants!$D$4:$E$40,Constants!$E$4:$E$40),)</f>
        <v>0</v>
      </c>
      <c r="O17" s="10"/>
      <c r="P17" s="1">
        <f>IF(O17&gt;0,LOOKUP(O17,Constants!$D$4:$D$40,Constants!$E$4:$E$40),)</f>
        <v>0</v>
      </c>
      <c r="Q17" s="10"/>
      <c r="R17" s="1">
        <f>IF(Q17&gt;0,LOOKUP(Q17,Constants!$D$4:$E$40,Constants!$E$4:$E$40),)</f>
        <v>0</v>
      </c>
      <c r="S17" s="4">
        <f>IF(ISNA(Y17),Constants!$O$1,"")</f>
      </c>
      <c r="T17" s="3">
        <f t="shared" si="0"/>
        <v>9</v>
      </c>
      <c r="U17" s="1">
        <f>IF(T17&gt;0,Constants!$G$16-T17,0)</f>
        <v>28</v>
      </c>
      <c r="V17" s="1">
        <f t="shared" si="1"/>
        <v>37</v>
      </c>
      <c r="W17" s="12">
        <f t="shared" si="2"/>
        <v>0.5</v>
      </c>
      <c r="X17" s="12">
        <f>IF(V17=0,0.5,0)</f>
        <v>0</v>
      </c>
      <c r="Y17" t="str">
        <f>VLOOKUP(U17,Constants!$I$16:$J$24,2,FALSE)</f>
        <v> </v>
      </c>
    </row>
    <row r="18" spans="1:25" ht="14.25">
      <c r="A18" s="7" t="s">
        <v>87</v>
      </c>
      <c r="B18" t="s">
        <v>72</v>
      </c>
      <c r="C18" s="10"/>
      <c r="D18" s="1">
        <f>IF(C18&gt;0,LOOKUP(C18,Constants!$A$4:$A$40,Constants!$B$4:$B$40),)</f>
        <v>0</v>
      </c>
      <c r="E18" s="10"/>
      <c r="F18" s="1">
        <f>IF(E18&gt;0,LOOKUP(E18,Constants!$A$4:$A$40,Constants!$B$4:$B$40),)</f>
        <v>0</v>
      </c>
      <c r="G18" s="10">
        <v>2</v>
      </c>
      <c r="H18" s="1">
        <f>IF(G18&gt;0,LOOKUP(G18,Constants!$A$4:$A$40,Constants!$B$4:$B$40),)</f>
        <v>9</v>
      </c>
      <c r="I18" s="10"/>
      <c r="J18" s="1">
        <f>IF(I18&gt;0,LOOKUP(I18,Constants!$A$4:$A$40,Constants!$B$4:$B$40),)</f>
        <v>0</v>
      </c>
      <c r="K18" s="10"/>
      <c r="L18" s="1">
        <f>IF(K18&gt;0,LOOKUP(K18,Constants!$A$4:$A$40,Constants!$B$4:$B$40),)</f>
        <v>0</v>
      </c>
      <c r="M18" s="10"/>
      <c r="N18" s="1">
        <f>IF(M18&gt;0,LOOKUP(M18,Constants!$A$4:$A$40,Constants!$B$4:$B$40),)</f>
        <v>0</v>
      </c>
      <c r="O18" s="10">
        <v>1</v>
      </c>
      <c r="P18" s="1">
        <f>IF(O18&gt;0,LOOKUP(O18,Constants!$A$4:$A$40,Constants!$B$4:$B$40),)</f>
        <v>11</v>
      </c>
      <c r="Q18" s="10"/>
      <c r="R18" s="1">
        <f>IF(Q18&gt;0,LOOKUP(Q18,Constants!$A$4:$A$40,Constants!$B$4:$B$40),)</f>
        <v>0</v>
      </c>
      <c r="S18" s="4">
        <f>IF(ISNA(Y18),Constants!$O$1,"")</f>
      </c>
      <c r="T18" s="3">
        <f t="shared" si="0"/>
        <v>20</v>
      </c>
      <c r="U18" s="1">
        <f>IF(T18&gt;0,Constants!$G$3-T18,0)</f>
        <v>33</v>
      </c>
      <c r="V18" s="1">
        <f t="shared" si="1"/>
        <v>53</v>
      </c>
      <c r="W18" s="12">
        <f t="shared" si="2"/>
        <v>0.5</v>
      </c>
      <c r="X18" s="12">
        <f t="shared" si="3"/>
        <v>0</v>
      </c>
      <c r="Y18" t="str">
        <f>VLOOKUP(U18,Constants!$I$3:$J$11,2,FALSE)</f>
        <v> </v>
      </c>
    </row>
    <row r="19" spans="1:25" ht="14.25">
      <c r="A19" s="7"/>
      <c r="B19" t="s">
        <v>73</v>
      </c>
      <c r="C19" s="10"/>
      <c r="D19" s="1">
        <f>IF(C19&gt;0,LOOKUP(C19,Constants!$D$4:$D$40,Constants!$E$4:$E$40),)</f>
        <v>0</v>
      </c>
      <c r="E19" s="10"/>
      <c r="F19" s="1">
        <f>IF(E19&gt;0,LOOKUP(E19,Constants!$D$4:$D$40,Constants!$E$4:$E$40),)</f>
        <v>0</v>
      </c>
      <c r="G19" s="10"/>
      <c r="H19" s="1">
        <f>IF(G19&gt;0,LOOKUP(G19,Constants!$D$4:$D$40,Constants!$E$4:$E$40),)</f>
        <v>0</v>
      </c>
      <c r="I19" s="10"/>
      <c r="J19" s="1">
        <f>IF(I19&gt;0,LOOKUP(I19,Constants!$D$4:$D$40,Constants!$E$4:$E$40),)</f>
        <v>0</v>
      </c>
      <c r="K19" s="10"/>
      <c r="L19" s="1">
        <f>IF(K19&gt;0,LOOKUP(K19,Constants!$D$4:$D$40,Constants!$E$4:$E$40),)</f>
        <v>0</v>
      </c>
      <c r="M19" s="10"/>
      <c r="N19" s="1">
        <f>IF(M19&gt;0,LOOKUP(M19,Constants!$D$4:$E$40,Constants!$E$4:$E$40),)</f>
        <v>0</v>
      </c>
      <c r="O19" s="10">
        <v>1</v>
      </c>
      <c r="P19" s="1">
        <f>IF(O19&gt;0,LOOKUP(O19,Constants!$D$4:$D$40,Constants!$E$4:$E$40),)</f>
        <v>9</v>
      </c>
      <c r="Q19" s="10"/>
      <c r="R19" s="1">
        <f>IF(Q19&gt;0,LOOKUP(Q19,Constants!$D$4:$E$40,Constants!$E$4:$E$40),)</f>
        <v>0</v>
      </c>
      <c r="S19" s="4">
        <f>IF(ISNA(Y19),Constants!$O$1,"")</f>
      </c>
      <c r="T19" s="3">
        <f t="shared" si="0"/>
        <v>9</v>
      </c>
      <c r="U19" s="1">
        <f>IF(T19&gt;0,Constants!$G$16-T19,0)</f>
        <v>28</v>
      </c>
      <c r="V19" s="1">
        <f t="shared" si="1"/>
        <v>37</v>
      </c>
      <c r="W19" s="12">
        <f t="shared" si="2"/>
        <v>0.5</v>
      </c>
      <c r="X19" s="12">
        <f>IF(V19=0,0.5,0)</f>
        <v>0</v>
      </c>
      <c r="Y19" t="str">
        <f>VLOOKUP(U19,Constants!$I$16:$J$24,2,FALSE)</f>
        <v> </v>
      </c>
    </row>
    <row r="20" spans="1:25" ht="14.25">
      <c r="A20" s="7" t="s">
        <v>24</v>
      </c>
      <c r="B20" t="s">
        <v>72</v>
      </c>
      <c r="C20" s="10"/>
      <c r="D20" s="1">
        <f>IF(C20&gt;0,LOOKUP(C20,Constants!$A$4:$A$40,Constants!$B$4:$B$40),)</f>
        <v>0</v>
      </c>
      <c r="E20" s="10">
        <v>2</v>
      </c>
      <c r="F20" s="1">
        <f>IF(E20&gt;0,LOOKUP(E20,Constants!$A$4:$A$40,Constants!$B$4:$B$40),)</f>
        <v>9</v>
      </c>
      <c r="G20" s="10"/>
      <c r="H20" s="1">
        <f>IF(G20&gt;0,LOOKUP(G20,Constants!$A$4:$A$40,Constants!$B$4:$B$40),)</f>
        <v>0</v>
      </c>
      <c r="I20" s="10"/>
      <c r="J20" s="1">
        <f>IF(I20&gt;0,LOOKUP(I20,Constants!$A$4:$A$40,Constants!$B$4:$B$40),)</f>
        <v>0</v>
      </c>
      <c r="K20" s="10"/>
      <c r="L20" s="1">
        <f>IF(K20&gt;0,LOOKUP(K20,Constants!$A$4:$A$40,Constants!$B$4:$B$40),)</f>
        <v>0</v>
      </c>
      <c r="M20" s="10"/>
      <c r="N20" s="1">
        <f>IF(M20&gt;0,LOOKUP(M20,Constants!$A$4:$A$40,Constants!$B$4:$B$40),)</f>
        <v>0</v>
      </c>
      <c r="O20" s="10">
        <v>1</v>
      </c>
      <c r="P20" s="1">
        <f>IF(O20&gt;0,LOOKUP(O20,Constants!$A$4:$A$40,Constants!$B$4:$B$40),)</f>
        <v>11</v>
      </c>
      <c r="Q20" s="10"/>
      <c r="R20" s="1">
        <f>IF(Q20&gt;0,LOOKUP(Q20,Constants!$A$4:$A$40,Constants!$B$4:$B$40),)</f>
        <v>0</v>
      </c>
      <c r="S20" s="4">
        <f>IF(ISNA(Y20),Constants!$O$1,"")</f>
      </c>
      <c r="T20" s="3">
        <f t="shared" si="0"/>
        <v>20</v>
      </c>
      <c r="U20" s="1">
        <f>IF(T20&gt;0,Constants!$G$3-T20,0)</f>
        <v>33</v>
      </c>
      <c r="V20" s="1">
        <f t="shared" si="1"/>
        <v>53</v>
      </c>
      <c r="W20" s="12">
        <f t="shared" si="2"/>
        <v>0.5</v>
      </c>
      <c r="X20" s="12">
        <f t="shared" si="3"/>
        <v>0</v>
      </c>
      <c r="Y20" t="str">
        <f>VLOOKUP(U20,Constants!$I$3:$J$11,2,FALSE)</f>
        <v> </v>
      </c>
    </row>
    <row r="21" spans="1:25" ht="14.25">
      <c r="A21" s="7"/>
      <c r="B21" t="s">
        <v>73</v>
      </c>
      <c r="C21" s="10"/>
      <c r="D21" s="1">
        <f>IF(C21&gt;0,LOOKUP(C21,Constants!$D$4:$D$40,Constants!$E$4:$E$40),)</f>
        <v>0</v>
      </c>
      <c r="E21" s="10"/>
      <c r="F21" s="1">
        <f>IF(E21&gt;0,LOOKUP(E21,Constants!$D$4:$D$40,Constants!$E$4:$E$40),)</f>
        <v>0</v>
      </c>
      <c r="G21" s="10"/>
      <c r="H21" s="1">
        <f>IF(G21&gt;0,LOOKUP(G21,Constants!$D$4:$D$40,Constants!$E$4:$E$40),)</f>
        <v>0</v>
      </c>
      <c r="I21" s="10"/>
      <c r="J21" s="1">
        <f>IF(I21&gt;0,LOOKUP(I21,Constants!$D$4:$D$40,Constants!$E$4:$E$40),)</f>
        <v>0</v>
      </c>
      <c r="K21" s="10"/>
      <c r="L21" s="1">
        <f>IF(K21&gt;0,LOOKUP(K21,Constants!$D$4:$D$40,Constants!$E$4:$E$40),)</f>
        <v>0</v>
      </c>
      <c r="M21" s="10"/>
      <c r="N21" s="1">
        <f>IF(M21&gt;0,LOOKUP(M21,Constants!$D$4:$E$40,Constants!$E$4:$E$40),)</f>
        <v>0</v>
      </c>
      <c r="O21" s="10">
        <v>1</v>
      </c>
      <c r="P21" s="1">
        <f>IF(O21&gt;0,LOOKUP(O21,Constants!$D$4:$D$40,Constants!$E$4:$E$40),)</f>
        <v>9</v>
      </c>
      <c r="Q21" s="10"/>
      <c r="R21" s="1">
        <f>IF(Q21&gt;0,LOOKUP(Q21,Constants!$D$4:$E$40,Constants!$E$4:$E$40),)</f>
        <v>0</v>
      </c>
      <c r="S21" s="4">
        <f>IF(ISNA(Y21),Constants!$O$1,"")</f>
      </c>
      <c r="T21" s="3">
        <f t="shared" si="0"/>
        <v>9</v>
      </c>
      <c r="U21" s="1">
        <f>IF(T21&gt;0,Constants!$G$16-T21,0)</f>
        <v>28</v>
      </c>
      <c r="V21" s="1">
        <f t="shared" si="1"/>
        <v>37</v>
      </c>
      <c r="W21" s="12">
        <f t="shared" si="2"/>
        <v>0.5</v>
      </c>
      <c r="X21" s="12">
        <f>IF(V21=0,0.5,0)</f>
        <v>0</v>
      </c>
      <c r="Y21" t="str">
        <f>VLOOKUP(U21,Constants!$I$16:$J$24,2,FALSE)</f>
        <v> </v>
      </c>
    </row>
    <row r="22" spans="1:25" ht="14.25">
      <c r="A22" s="7" t="s">
        <v>57</v>
      </c>
      <c r="B22" t="s">
        <v>72</v>
      </c>
      <c r="C22" s="10">
        <v>7</v>
      </c>
      <c r="D22" s="1">
        <f>IF(C22&gt;0,LOOKUP(C22,Constants!$A$4:$A$40,Constants!$B$4:$B$40),)</f>
        <v>4</v>
      </c>
      <c r="E22" s="10">
        <v>2</v>
      </c>
      <c r="F22" s="1">
        <f>IF(E22&gt;0,LOOKUP(E22,Constants!$A$4:$A$40,Constants!$B$4:$B$40),)</f>
        <v>9</v>
      </c>
      <c r="G22" s="10">
        <v>5</v>
      </c>
      <c r="H22" s="1">
        <f>IF(G22&gt;0,LOOKUP(G22,Constants!$A$4:$A$40,Constants!$B$4:$B$40),)</f>
        <v>6</v>
      </c>
      <c r="I22" s="10">
        <v>3</v>
      </c>
      <c r="J22" s="1">
        <f>IF(I22&gt;0,LOOKUP(I22,Constants!$A$4:$A$40,Constants!$B$4:$B$40),)</f>
        <v>8</v>
      </c>
      <c r="K22" s="10">
        <v>8</v>
      </c>
      <c r="L22" s="1">
        <f>IF(K22&gt;0,LOOKUP(K22,Constants!$A$4:$A$40,Constants!$B$4:$B$40),)</f>
        <v>3</v>
      </c>
      <c r="M22" s="10">
        <v>6</v>
      </c>
      <c r="N22" s="1">
        <f>IF(M22&gt;0,LOOKUP(M22,Constants!$A$4:$A$40,Constants!$B$4:$B$40),)</f>
        <v>5</v>
      </c>
      <c r="O22" s="10">
        <v>1</v>
      </c>
      <c r="P22" s="1">
        <f>IF(O22&gt;0,LOOKUP(O22,Constants!$A$4:$A$40,Constants!$B$4:$B$40),)</f>
        <v>11</v>
      </c>
      <c r="Q22" s="10">
        <v>4</v>
      </c>
      <c r="R22" s="1">
        <f>IF(Q22&gt;0,LOOKUP(Q22,Constants!$A$4:$A$40,Constants!$B$4:$B$40),)</f>
        <v>7</v>
      </c>
      <c r="S22" s="4">
        <f>IF(ISNA(Y22),Constants!$O$1,"")</f>
      </c>
      <c r="T22" s="3">
        <f t="shared" si="0"/>
        <v>53</v>
      </c>
      <c r="U22" s="1">
        <f>IF(T22&gt;0,Constants!$G$3-T22,0)</f>
        <v>0</v>
      </c>
      <c r="V22" s="1">
        <f t="shared" si="1"/>
        <v>53</v>
      </c>
      <c r="W22" s="12">
        <f t="shared" si="2"/>
        <v>0.5</v>
      </c>
      <c r="X22" s="12">
        <f t="shared" si="3"/>
        <v>0</v>
      </c>
      <c r="Y22" t="str">
        <f>VLOOKUP(U22,Constants!$I$3:$J$11,2,FALSE)</f>
        <v> </v>
      </c>
    </row>
    <row r="23" spans="1:25" ht="14.25">
      <c r="A23" s="7"/>
      <c r="B23" t="s">
        <v>73</v>
      </c>
      <c r="C23" s="10">
        <v>3</v>
      </c>
      <c r="D23" s="1">
        <f>IF(C23&gt;0,LOOKUP(C23,Constants!$D$4:$D$40,Constants!$E$4:$E$40),)</f>
        <v>6</v>
      </c>
      <c r="E23" s="10"/>
      <c r="F23" s="1">
        <f>IF(E23&gt;0,LOOKUP(E23,Constants!$D$4:$D$40,Constants!$E$4:$E$40),)</f>
        <v>0</v>
      </c>
      <c r="G23" s="10">
        <v>2</v>
      </c>
      <c r="H23" s="1">
        <f>IF(G23&gt;0,LOOKUP(G23,Constants!$D$4:$D$40,Constants!$E$4:$E$40),)</f>
        <v>7</v>
      </c>
      <c r="I23" s="10"/>
      <c r="J23" s="1">
        <f>IF(I23&gt;0,LOOKUP(I23,Constants!$D$4:$D$40,Constants!$E$4:$E$40),)</f>
        <v>0</v>
      </c>
      <c r="K23" s="10"/>
      <c r="L23" s="1">
        <f>IF(K23&gt;0,LOOKUP(K23,Constants!$D$4:$D$40,Constants!$E$4:$E$40),)</f>
        <v>0</v>
      </c>
      <c r="M23" s="10"/>
      <c r="N23" s="1">
        <f>IF(M23&gt;0,LOOKUP(M23,Constants!$D$4:$E$40,Constants!$E$4:$E$40),)</f>
        <v>0</v>
      </c>
      <c r="O23" s="10">
        <v>1</v>
      </c>
      <c r="P23" s="1">
        <f>IF(O23&gt;0,LOOKUP(O23,Constants!$D$4:$D$40,Constants!$E$4:$E$40),)</f>
        <v>9</v>
      </c>
      <c r="Q23" s="10">
        <v>4</v>
      </c>
      <c r="R23" s="1">
        <f>IF(Q23&gt;0,LOOKUP(Q23,Constants!$D$4:$E$40,Constants!$E$4:$E$40),)</f>
        <v>5</v>
      </c>
      <c r="S23" s="4">
        <f>IF(ISNA(Y23),Constants!$O$1,"")</f>
      </c>
      <c r="T23" s="3">
        <f t="shared" si="0"/>
        <v>27</v>
      </c>
      <c r="U23" s="1">
        <f>IF(T23&gt;0,Constants!$G$16-T23,0)</f>
        <v>10</v>
      </c>
      <c r="V23" s="1">
        <f t="shared" si="1"/>
        <v>37</v>
      </c>
      <c r="W23" s="12">
        <f t="shared" si="2"/>
        <v>0.5</v>
      </c>
      <c r="X23" s="12">
        <f>IF(V23=0,0.5,0)</f>
        <v>0</v>
      </c>
      <c r="Y23" t="str">
        <f>VLOOKUP(U23,Constants!$I$16:$J$24,2,FALSE)</f>
        <v> </v>
      </c>
    </row>
    <row r="24" spans="1:25" ht="14.25">
      <c r="A24" s="7" t="s">
        <v>40</v>
      </c>
      <c r="B24" t="s">
        <v>72</v>
      </c>
      <c r="C24" s="10">
        <v>5</v>
      </c>
      <c r="D24" s="1">
        <f>IF(C24&gt;0,LOOKUP(C24,Constants!$A$4:$A$40,Constants!$B$4:$B$40),)</f>
        <v>6</v>
      </c>
      <c r="E24" s="10"/>
      <c r="F24" s="1">
        <f>IF(E24&gt;0,LOOKUP(E24,Constants!$A$4:$A$40,Constants!$B$4:$B$40),)</f>
        <v>0</v>
      </c>
      <c r="G24" s="10">
        <v>2</v>
      </c>
      <c r="H24" s="1">
        <f>IF(G24&gt;0,LOOKUP(G24,Constants!$A$4:$A$40,Constants!$B$4:$B$40),)</f>
        <v>9</v>
      </c>
      <c r="I24" s="10"/>
      <c r="J24" s="1">
        <f>IF(I24&gt;0,LOOKUP(I24,Constants!$A$4:$A$40,Constants!$B$4:$B$40),)</f>
        <v>0</v>
      </c>
      <c r="K24" s="10"/>
      <c r="L24" s="1">
        <f>IF(K24&gt;0,LOOKUP(K24,Constants!$A$4:$A$40,Constants!$B$4:$B$40),)</f>
        <v>0</v>
      </c>
      <c r="M24" s="10">
        <v>4</v>
      </c>
      <c r="N24" s="1">
        <f>IF(M24&gt;0,LOOKUP(M24,Constants!$A$4:$A$40,Constants!$B$4:$B$40),)</f>
        <v>7</v>
      </c>
      <c r="O24" s="10">
        <v>3</v>
      </c>
      <c r="P24" s="1">
        <f>IF(O24&gt;0,LOOKUP(O24,Constants!$A$4:$A$40,Constants!$B$4:$B$40),)</f>
        <v>8</v>
      </c>
      <c r="Q24" s="10">
        <v>1</v>
      </c>
      <c r="R24" s="1">
        <f>IF(Q24&gt;0,LOOKUP(Q24,Constants!$A$4:$A$40,Constants!$B$4:$B$40),)</f>
        <v>11</v>
      </c>
      <c r="S24" s="4">
        <f>IF(ISNA(Y24),Constants!$O$1,"")</f>
      </c>
      <c r="T24" s="3">
        <f t="shared" si="0"/>
        <v>41</v>
      </c>
      <c r="U24" s="1">
        <f>IF(T24&gt;0,Constants!$G$3-T24,0)</f>
        <v>12</v>
      </c>
      <c r="V24" s="1">
        <f t="shared" si="1"/>
        <v>53</v>
      </c>
      <c r="W24" s="12">
        <f t="shared" si="2"/>
        <v>0.5</v>
      </c>
      <c r="X24" s="12">
        <f t="shared" si="3"/>
        <v>0</v>
      </c>
      <c r="Y24" t="str">
        <f>VLOOKUP(U24,Constants!$I$3:$J$11,2,FALSE)</f>
        <v> </v>
      </c>
    </row>
    <row r="25" spans="1:25" ht="14.25">
      <c r="A25" s="7"/>
      <c r="B25" t="s">
        <v>73</v>
      </c>
      <c r="C25" s="10"/>
      <c r="D25" s="1">
        <f>IF(C25&gt;0,LOOKUP(C25,Constants!$D$4:$D$40,Constants!$E$4:$E$40),)</f>
        <v>0</v>
      </c>
      <c r="E25" s="10"/>
      <c r="F25" s="1">
        <f>IF(E25&gt;0,LOOKUP(E25,Constants!$D$4:$D$40,Constants!$E$4:$E$40),)</f>
        <v>0</v>
      </c>
      <c r="G25" s="10">
        <v>2</v>
      </c>
      <c r="H25" s="1">
        <f>IF(G25&gt;0,LOOKUP(G25,Constants!$D$4:$D$40,Constants!$E$4:$E$40),)</f>
        <v>7</v>
      </c>
      <c r="I25" s="10"/>
      <c r="J25" s="1">
        <f>IF(I25&gt;0,LOOKUP(I25,Constants!$D$4:$D$40,Constants!$E$4:$E$40),)</f>
        <v>0</v>
      </c>
      <c r="K25" s="10"/>
      <c r="L25" s="1">
        <f>IF(K25&gt;0,LOOKUP(K25,Constants!$D$4:$D$40,Constants!$E$4:$E$40),)</f>
        <v>0</v>
      </c>
      <c r="M25" s="10"/>
      <c r="N25" s="1">
        <f>IF(M25&gt;0,LOOKUP(M25,Constants!$D$4:$E$40,Constants!$E$4:$E$40),)</f>
        <v>0</v>
      </c>
      <c r="O25" s="10">
        <v>1</v>
      </c>
      <c r="P25" s="1">
        <f>IF(O25&gt;0,LOOKUP(O25,Constants!$D$4:$D$40,Constants!$E$4:$E$40),)</f>
        <v>9</v>
      </c>
      <c r="Q25" s="10">
        <v>3</v>
      </c>
      <c r="R25" s="1">
        <f>IF(Q25&gt;0,LOOKUP(Q25,Constants!$D$4:$E$40,Constants!$E$4:$E$40),)</f>
        <v>6</v>
      </c>
      <c r="S25" s="4">
        <f>IF(ISNA(Y25),Constants!$O$1,"")</f>
      </c>
      <c r="T25" s="3">
        <f t="shared" si="0"/>
        <v>22</v>
      </c>
      <c r="U25" s="1">
        <f>IF(T25&gt;0,Constants!$G$16-T25,0)</f>
        <v>15</v>
      </c>
      <c r="V25" s="1">
        <f t="shared" si="1"/>
        <v>37</v>
      </c>
      <c r="W25" s="12">
        <f t="shared" si="2"/>
        <v>0.5</v>
      </c>
      <c r="X25" s="12">
        <f>IF(V25=0,0.5,0)</f>
        <v>0</v>
      </c>
      <c r="Y25" t="str">
        <f>VLOOKUP(U25,Constants!$I$16:$J$24,2,FALSE)</f>
        <v> </v>
      </c>
    </row>
    <row r="26" spans="1:25" ht="14.25">
      <c r="A26" s="7" t="s">
        <v>42</v>
      </c>
      <c r="B26" t="s">
        <v>72</v>
      </c>
      <c r="C26" s="10"/>
      <c r="D26" s="1">
        <f>IF(C26&gt;0,LOOKUP(C26,Constants!$A$4:$A$40,Constants!$B$4:$B$40),)</f>
        <v>0</v>
      </c>
      <c r="E26" s="10">
        <v>1</v>
      </c>
      <c r="F26" s="1">
        <f>IF(E26&gt;0,LOOKUP(E26,Constants!$A$4:$A$40,Constants!$B$4:$B$40),)</f>
        <v>11</v>
      </c>
      <c r="G26" s="10"/>
      <c r="H26" s="1">
        <f>IF(G26&gt;0,LOOKUP(G26,Constants!$A$4:$A$40,Constants!$B$4:$B$40),)</f>
        <v>0</v>
      </c>
      <c r="I26" s="10"/>
      <c r="J26" s="1">
        <f>IF(I26&gt;0,LOOKUP(I26,Constants!$A$4:$A$40,Constants!$B$4:$B$40),)</f>
        <v>0</v>
      </c>
      <c r="K26" s="10">
        <v>4</v>
      </c>
      <c r="L26" s="1">
        <f>IF(K26&gt;0,LOOKUP(K26,Constants!$A$4:$A$40,Constants!$B$4:$B$40),)</f>
        <v>7</v>
      </c>
      <c r="M26" s="10"/>
      <c r="N26" s="1">
        <f>IF(M26&gt;0,LOOKUP(M26,Constants!$A$4:$A$40,Constants!$B$4:$B$40),)</f>
        <v>0</v>
      </c>
      <c r="O26" s="10">
        <v>3</v>
      </c>
      <c r="P26" s="1">
        <f>IF(O26&gt;0,LOOKUP(O26,Constants!$A$4:$A$40,Constants!$B$4:$B$40),)</f>
        <v>8</v>
      </c>
      <c r="Q26" s="10">
        <v>2</v>
      </c>
      <c r="R26" s="1">
        <f>IF(Q26&gt;0,LOOKUP(Q26,Constants!$A$4:$A$40,Constants!$B$4:$B$40),)</f>
        <v>9</v>
      </c>
      <c r="S26" s="4">
        <f>IF(ISNA(Y26),Constants!$O$1,"")</f>
      </c>
      <c r="T26" s="3">
        <f aca="true" t="shared" si="4" ref="T26:T39">D26+F26+H26+J26+L26+N26+P26+R26</f>
        <v>35</v>
      </c>
      <c r="U26" s="1">
        <f>IF(T26&gt;0,Constants!$G$3-T26,0)</f>
        <v>18</v>
      </c>
      <c r="V26" s="1">
        <f aca="true" t="shared" si="5" ref="V26:V39">D26+F26+H26+J26+L26+N26+P26+R26+U26</f>
        <v>53</v>
      </c>
      <c r="W26" s="12">
        <f t="shared" si="2"/>
        <v>0.5</v>
      </c>
      <c r="X26" s="12">
        <f t="shared" si="3"/>
        <v>0</v>
      </c>
      <c r="Y26" t="str">
        <f>VLOOKUP(U26,Constants!$I$3:$J$11,2,FALSE)</f>
        <v> </v>
      </c>
    </row>
    <row r="27" spans="1:25" ht="14.25">
      <c r="A27" s="7"/>
      <c r="B27" t="s">
        <v>73</v>
      </c>
      <c r="C27" s="10"/>
      <c r="D27" s="1">
        <f>IF(C27&gt;0,LOOKUP(C27,Constants!$D$4:$D$40,Constants!$E$4:$E$40),)</f>
        <v>0</v>
      </c>
      <c r="E27" s="10">
        <v>1</v>
      </c>
      <c r="F27" s="1">
        <f>IF(E27&gt;0,LOOKUP(E27,Constants!$D$4:$D$40,Constants!$E$4:$E$40),)</f>
        <v>9</v>
      </c>
      <c r="G27" s="10"/>
      <c r="H27" s="1">
        <f>IF(G27&gt;0,LOOKUP(G27,Constants!$D$4:$D$40,Constants!$E$4:$E$40),)</f>
        <v>0</v>
      </c>
      <c r="I27" s="10"/>
      <c r="J27" s="1">
        <f>IF(I27&gt;0,LOOKUP(I27,Constants!$D$4:$D$40,Constants!$E$4:$E$40),)</f>
        <v>0</v>
      </c>
      <c r="K27" s="10"/>
      <c r="L27" s="1">
        <f>IF(K27&gt;0,LOOKUP(K27,Constants!$D$4:$D$40,Constants!$E$4:$E$40),)</f>
        <v>0</v>
      </c>
      <c r="M27" s="10"/>
      <c r="N27" s="1">
        <f>IF(M27&gt;0,LOOKUP(M27,Constants!$D$4:$E$40,Constants!$E$4:$E$40),)</f>
        <v>0</v>
      </c>
      <c r="O27" s="10">
        <v>2</v>
      </c>
      <c r="P27" s="1">
        <f>IF(O27&gt;0,LOOKUP(O27,Constants!$D$4:$D$40,Constants!$E$4:$E$40),)</f>
        <v>7</v>
      </c>
      <c r="Q27" s="10">
        <v>3</v>
      </c>
      <c r="R27" s="1">
        <f>IF(Q27&gt;0,LOOKUP(Q27,Constants!$D$4:$E$40,Constants!$E$4:$E$40),)</f>
        <v>6</v>
      </c>
      <c r="S27" s="4">
        <f>IF(ISNA(Y27),Constants!$O$1,"")</f>
      </c>
      <c r="T27" s="3">
        <f t="shared" si="4"/>
        <v>22</v>
      </c>
      <c r="U27" s="1">
        <f>IF(T27&gt;0,Constants!$G$16-T27,0)</f>
        <v>15</v>
      </c>
      <c r="V27" s="1">
        <f t="shared" si="5"/>
        <v>37</v>
      </c>
      <c r="W27" s="12">
        <f t="shared" si="2"/>
        <v>0.5</v>
      </c>
      <c r="X27" s="12">
        <f>IF(V27=0,0.5,0)</f>
        <v>0</v>
      </c>
      <c r="Y27" t="str">
        <f>VLOOKUP(U27,Constants!$I$16:$J$24,2,FALSE)</f>
        <v> </v>
      </c>
    </row>
    <row r="28" spans="1:25" ht="14.25">
      <c r="A28" s="7" t="s">
        <v>41</v>
      </c>
      <c r="B28" t="s">
        <v>72</v>
      </c>
      <c r="C28" s="10"/>
      <c r="D28" s="1">
        <f>IF(C28&gt;0,LOOKUP(C28,Constants!$A$4:$A$40,Constants!$B$4:$B$40),)</f>
        <v>0</v>
      </c>
      <c r="E28" s="10"/>
      <c r="F28" s="1">
        <f>IF(E28&gt;0,LOOKUP(E28,Constants!$A$4:$A$40,Constants!$B$4:$B$40),)</f>
        <v>0</v>
      </c>
      <c r="G28" s="10"/>
      <c r="H28" s="1">
        <f>IF(G28&gt;0,LOOKUP(G28,Constants!$A$4:$A$40,Constants!$B$4:$B$40),)</f>
        <v>0</v>
      </c>
      <c r="I28" s="10"/>
      <c r="J28" s="1">
        <f>IF(I28&gt;0,LOOKUP(I28,Constants!$A$4:$A$40,Constants!$B$4:$B$40),)</f>
        <v>0</v>
      </c>
      <c r="K28" s="10"/>
      <c r="L28" s="1">
        <f>IF(K28&gt;0,LOOKUP(K28,Constants!$A$4:$A$40,Constants!$B$4:$B$40),)</f>
        <v>0</v>
      </c>
      <c r="M28" s="10">
        <v>1</v>
      </c>
      <c r="N28" s="1">
        <f>IF(M28&gt;0,LOOKUP(M28,Constants!$A$4:$A$40,Constants!$B$4:$B$40),)</f>
        <v>11</v>
      </c>
      <c r="O28" s="10"/>
      <c r="P28" s="1">
        <f>IF(O28&gt;0,LOOKUP(O28,Constants!$A$4:$A$40,Constants!$B$4:$B$40),)</f>
        <v>0</v>
      </c>
      <c r="Q28" s="10"/>
      <c r="R28" s="1">
        <f>IF(Q28&gt;0,LOOKUP(Q28,Constants!$A$4:$A$40,Constants!$B$4:$B$40),)</f>
        <v>0</v>
      </c>
      <c r="S28" s="4">
        <f>IF(ISNA(Y28),Constants!$O$1,"")</f>
      </c>
      <c r="T28" s="3">
        <f t="shared" si="4"/>
        <v>11</v>
      </c>
      <c r="U28" s="1">
        <f>IF(T28&gt;0,Constants!$G$3-T28,0)</f>
        <v>42</v>
      </c>
      <c r="V28" s="1">
        <f t="shared" si="5"/>
        <v>53</v>
      </c>
      <c r="W28" s="12">
        <f t="shared" si="2"/>
        <v>0.5</v>
      </c>
      <c r="X28" s="12">
        <f t="shared" si="3"/>
        <v>0</v>
      </c>
      <c r="Y28" t="str">
        <f>VLOOKUP(U28,Constants!$I$3:$J$11,2,FALSE)</f>
        <v> </v>
      </c>
    </row>
    <row r="29" spans="1:25" ht="14.25">
      <c r="A29" s="7"/>
      <c r="B29" t="s">
        <v>73</v>
      </c>
      <c r="C29" s="10"/>
      <c r="D29" s="1">
        <f>IF(C29&gt;0,LOOKUP(C29,Constants!$D$4:$D$40,Constants!$E$4:$E$40),)</f>
        <v>0</v>
      </c>
      <c r="E29" s="10"/>
      <c r="F29" s="1">
        <f>IF(E29&gt;0,LOOKUP(E29,Constants!$D$4:$D$40,Constants!$E$4:$E$40),)</f>
        <v>0</v>
      </c>
      <c r="G29" s="10"/>
      <c r="H29" s="1">
        <f>IF(G29&gt;0,LOOKUP(G29,Constants!$D$4:$D$40,Constants!$E$4:$E$40),)</f>
        <v>0</v>
      </c>
      <c r="I29" s="10"/>
      <c r="J29" s="1">
        <f>IF(I29&gt;0,LOOKUP(I29,Constants!$D$4:$D$40,Constants!$E$4:$E$40),)</f>
        <v>0</v>
      </c>
      <c r="K29" s="10"/>
      <c r="L29" s="1">
        <f>IF(K29&gt;0,LOOKUP(K29,Constants!$D$4:$D$40,Constants!$E$4:$E$40),)</f>
        <v>0</v>
      </c>
      <c r="M29" s="10">
        <v>1</v>
      </c>
      <c r="N29" s="1">
        <f>IF(M29&gt;0,LOOKUP(M29,Constants!$D$4:$E$40,Constants!$E$4:$E$40),)</f>
        <v>9</v>
      </c>
      <c r="O29" s="10"/>
      <c r="P29" s="1">
        <f>IF(O29&gt;0,LOOKUP(O29,Constants!$D$4:$D$40,Constants!$E$4:$E$40),)</f>
        <v>0</v>
      </c>
      <c r="Q29" s="10"/>
      <c r="R29" s="1">
        <f>IF(Q29&gt;0,LOOKUP(Q29,Constants!$D$4:$E$40,Constants!$E$4:$E$40),)</f>
        <v>0</v>
      </c>
      <c r="S29" s="4">
        <f>IF(ISNA(Y29),Constants!$O$1,"")</f>
      </c>
      <c r="T29" s="3">
        <f t="shared" si="4"/>
        <v>9</v>
      </c>
      <c r="U29" s="1">
        <f>IF(T29&gt;0,Constants!$G$16-T29,0)</f>
        <v>28</v>
      </c>
      <c r="V29" s="1">
        <f t="shared" si="5"/>
        <v>37</v>
      </c>
      <c r="W29" s="12">
        <f t="shared" si="2"/>
        <v>0.5</v>
      </c>
      <c r="X29" s="12">
        <f>IF(V29=0,0.5,0)</f>
        <v>0</v>
      </c>
      <c r="Y29" t="str">
        <f>VLOOKUP(U29,Constants!$I$16:$J$24,2,FALSE)</f>
        <v> </v>
      </c>
    </row>
    <row r="30" spans="1:25" ht="14.25">
      <c r="A30" s="7" t="s">
        <v>43</v>
      </c>
      <c r="B30" t="s">
        <v>72</v>
      </c>
      <c r="C30" s="10">
        <v>5</v>
      </c>
      <c r="D30" s="1">
        <f>IF(C30&gt;0,LOOKUP(C30,Constants!$A$4:$A$40,Constants!$B$4:$B$40),)</f>
        <v>6</v>
      </c>
      <c r="E30" s="10"/>
      <c r="F30" s="1">
        <f>IF(E30&gt;0,LOOKUP(E30,Constants!$A$4:$A$40,Constants!$B$4:$B$40),)</f>
        <v>0</v>
      </c>
      <c r="G30" s="10">
        <v>4</v>
      </c>
      <c r="H30" s="1">
        <f>IF(G30&gt;0,LOOKUP(G30,Constants!$A$4:$A$40,Constants!$B$4:$B$40),)</f>
        <v>7</v>
      </c>
      <c r="I30" s="10"/>
      <c r="J30" s="1">
        <f>IF(I30&gt;0,LOOKUP(I30,Constants!$A$4:$A$40,Constants!$B$4:$B$40),)</f>
        <v>0</v>
      </c>
      <c r="K30" s="10"/>
      <c r="L30" s="1">
        <f>IF(K30&gt;0,LOOKUP(K30,Constants!$A$4:$A$40,Constants!$B$4:$B$40),)</f>
        <v>0</v>
      </c>
      <c r="M30" s="10">
        <v>1</v>
      </c>
      <c r="N30" s="1">
        <f>IF(M30&gt;0,LOOKUP(M30,Constants!$A$4:$A$40,Constants!$B$4:$B$40),)</f>
        <v>11</v>
      </c>
      <c r="O30" s="10">
        <v>2</v>
      </c>
      <c r="P30" s="1">
        <f>IF(O30&gt;0,LOOKUP(O30,Constants!$A$4:$A$40,Constants!$B$4:$B$40),)</f>
        <v>9</v>
      </c>
      <c r="Q30" s="10">
        <v>3</v>
      </c>
      <c r="R30" s="1">
        <f>IF(Q30&gt;0,LOOKUP(Q30,Constants!$A$4:$A$40,Constants!$B$4:$B$40),)</f>
        <v>8</v>
      </c>
      <c r="S30" s="4">
        <f>IF(ISNA(Y30),Constants!$O$1,"")</f>
      </c>
      <c r="T30" s="3">
        <f t="shared" si="4"/>
        <v>41</v>
      </c>
      <c r="U30" s="1">
        <f>IF(T30&gt;0,Constants!$G$3-T30,0)</f>
        <v>12</v>
      </c>
      <c r="V30" s="1">
        <f t="shared" si="5"/>
        <v>53</v>
      </c>
      <c r="W30" s="12">
        <f t="shared" si="2"/>
        <v>0.5</v>
      </c>
      <c r="X30" s="12">
        <f t="shared" si="3"/>
        <v>0</v>
      </c>
      <c r="Y30" t="str">
        <f>VLOOKUP(U30,Constants!$I$3:$J$11,2,FALSE)</f>
        <v> </v>
      </c>
    </row>
    <row r="31" spans="1:25" ht="14.25">
      <c r="A31" s="7"/>
      <c r="B31" t="s">
        <v>73</v>
      </c>
      <c r="C31" s="10"/>
      <c r="D31" s="1">
        <f>IF(C31&gt;0,LOOKUP(C31,Constants!$D$4:$D$40,Constants!$E$4:$E$40),)</f>
        <v>0</v>
      </c>
      <c r="E31" s="10"/>
      <c r="F31" s="1">
        <f>IF(E31&gt;0,LOOKUP(E31,Constants!$D$4:$D$40,Constants!$E$4:$E$40),)</f>
        <v>0</v>
      </c>
      <c r="G31" s="10"/>
      <c r="H31" s="1">
        <f>IF(G31&gt;0,LOOKUP(G31,Constants!$D$4:$D$40,Constants!$E$4:$E$40),)</f>
        <v>0</v>
      </c>
      <c r="I31" s="10"/>
      <c r="J31" s="1">
        <f>IF(I31&gt;0,LOOKUP(I31,Constants!$D$4:$D$40,Constants!$E$4:$E$40),)</f>
        <v>0</v>
      </c>
      <c r="K31" s="10"/>
      <c r="L31" s="1">
        <f>IF(K31&gt;0,LOOKUP(K31,Constants!$D$4:$D$40,Constants!$E$4:$E$40),)</f>
        <v>0</v>
      </c>
      <c r="M31" s="10"/>
      <c r="N31" s="1">
        <f>IF(M31&gt;0,LOOKUP(M31,Constants!$D$4:$E$40,Constants!$E$4:$E$40),)</f>
        <v>0</v>
      </c>
      <c r="O31" s="10">
        <v>1</v>
      </c>
      <c r="P31" s="1">
        <f>IF(O31&gt;0,LOOKUP(O31,Constants!$D$4:$D$40,Constants!$E$4:$E$40),)</f>
        <v>9</v>
      </c>
      <c r="Q31" s="10">
        <v>2</v>
      </c>
      <c r="R31" s="1">
        <f>IF(Q31&gt;0,LOOKUP(Q31,Constants!$D$4:$E$40,Constants!$E$4:$E$40),)</f>
        <v>7</v>
      </c>
      <c r="S31" s="4">
        <f>IF(ISNA(Y31),Constants!$O$1,"")</f>
      </c>
      <c r="T31" s="3">
        <f t="shared" si="4"/>
        <v>16</v>
      </c>
      <c r="U31" s="1">
        <f>IF(T31&gt;0,Constants!$G$16-T31,0)</f>
        <v>21</v>
      </c>
      <c r="V31" s="1">
        <f t="shared" si="5"/>
        <v>37</v>
      </c>
      <c r="W31" s="12">
        <f t="shared" si="2"/>
        <v>0.5</v>
      </c>
      <c r="X31" s="12">
        <f>IF(V31=0,0.5,0)</f>
        <v>0</v>
      </c>
      <c r="Y31" t="str">
        <f>VLOOKUP(U31,Constants!$I$16:$J$24,2,FALSE)</f>
        <v> </v>
      </c>
    </row>
    <row r="32" spans="1:25" ht="14.25">
      <c r="A32" s="7" t="s">
        <v>47</v>
      </c>
      <c r="B32" t="s">
        <v>72</v>
      </c>
      <c r="C32" s="10">
        <v>1</v>
      </c>
      <c r="D32" s="1">
        <f>IF(C32&gt;0,LOOKUP(C32,Constants!$A$4:$A$40,Constants!$B$4:$B$40),)</f>
        <v>11</v>
      </c>
      <c r="E32" s="10">
        <v>5</v>
      </c>
      <c r="F32" s="1">
        <f>IF(E32&gt;0,LOOKUP(E32,Constants!$A$4:$A$40,Constants!$B$4:$B$40),)</f>
        <v>6</v>
      </c>
      <c r="G32" s="10"/>
      <c r="H32" s="1">
        <f>IF(G32&gt;0,LOOKUP(G32,Constants!$A$4:$A$40,Constants!$B$4:$B$40),)</f>
        <v>0</v>
      </c>
      <c r="I32" s="10"/>
      <c r="J32" s="1">
        <f>IF(I32&gt;0,LOOKUP(I32,Constants!$A$4:$A$40,Constants!$B$4:$B$40),)</f>
        <v>0</v>
      </c>
      <c r="K32" s="10">
        <v>6</v>
      </c>
      <c r="L32" s="1">
        <f>IF(K32&gt;0,LOOKUP(K32,Constants!$A$4:$A$40,Constants!$B$4:$B$40),)</f>
        <v>5</v>
      </c>
      <c r="M32" s="10">
        <v>4</v>
      </c>
      <c r="N32" s="1">
        <f>IF(M32&gt;0,LOOKUP(M32,Constants!$A$4:$A$40,Constants!$B$4:$B$40),)</f>
        <v>7</v>
      </c>
      <c r="O32" s="10">
        <v>3</v>
      </c>
      <c r="P32" s="1">
        <f>IF(O32&gt;0,LOOKUP(O32,Constants!$A$4:$A$40,Constants!$B$4:$B$40),)</f>
        <v>8</v>
      </c>
      <c r="Q32" s="10">
        <v>2</v>
      </c>
      <c r="R32" s="1">
        <f>IF(Q32&gt;0,LOOKUP(Q32,Constants!$A$4:$A$40,Constants!$B$4:$B$40),)</f>
        <v>9</v>
      </c>
      <c r="S32" s="4">
        <f>IF(ISNA(Y32),Constants!$O$1,"")</f>
      </c>
      <c r="T32" s="3">
        <f t="shared" si="4"/>
        <v>46</v>
      </c>
      <c r="U32" s="1">
        <f>IF(T32&gt;0,Constants!$G$3-T32,0)</f>
        <v>7</v>
      </c>
      <c r="V32" s="1">
        <f t="shared" si="5"/>
        <v>53</v>
      </c>
      <c r="W32" s="12">
        <f t="shared" si="2"/>
        <v>0.5</v>
      </c>
      <c r="X32" s="12">
        <f t="shared" si="3"/>
        <v>0</v>
      </c>
      <c r="Y32" t="str">
        <f>VLOOKUP(U32,Constants!$I$3:$J$11,2,FALSE)</f>
        <v> </v>
      </c>
    </row>
    <row r="33" spans="1:25" ht="14.25">
      <c r="A33" s="7"/>
      <c r="B33" t="s">
        <v>73</v>
      </c>
      <c r="C33" s="10">
        <v>3</v>
      </c>
      <c r="D33" s="1">
        <f>IF(C33&gt;0,LOOKUP(C33,Constants!$D$4:$D$40,Constants!$E$4:$E$40),)</f>
        <v>6</v>
      </c>
      <c r="E33" s="10"/>
      <c r="F33" s="1">
        <f>IF(E33&gt;0,LOOKUP(E33,Constants!$D$4:$D$40,Constants!$E$4:$E$40),)</f>
        <v>0</v>
      </c>
      <c r="G33" s="10"/>
      <c r="H33" s="1">
        <f>IF(G33&gt;0,LOOKUP(G33,Constants!$D$4:$D$40,Constants!$E$4:$E$40),)</f>
        <v>0</v>
      </c>
      <c r="I33" s="10"/>
      <c r="J33" s="1">
        <f>IF(I33&gt;0,LOOKUP(I33,Constants!$D$4:$D$40,Constants!$E$4:$E$40),)</f>
        <v>0</v>
      </c>
      <c r="K33" s="10"/>
      <c r="L33" s="1">
        <f>IF(K33&gt;0,LOOKUP(K33,Constants!$D$4:$D$40,Constants!$E$4:$E$40),)</f>
        <v>0</v>
      </c>
      <c r="M33" s="10"/>
      <c r="N33" s="1">
        <f>IF(M33&gt;0,LOOKUP(M33,Constants!$D$4:$E$40,Constants!$E$4:$E$40),)</f>
        <v>0</v>
      </c>
      <c r="O33" s="10">
        <v>2</v>
      </c>
      <c r="P33" s="1">
        <f>IF(O33&gt;0,LOOKUP(O33,Constants!$D$4:$D$40,Constants!$E$4:$E$40),)</f>
        <v>7</v>
      </c>
      <c r="Q33" s="10">
        <v>1</v>
      </c>
      <c r="R33" s="1">
        <f>IF(Q33&gt;0,LOOKUP(Q33,Constants!$D$4:$E$40,Constants!$E$4:$E$40),)</f>
        <v>9</v>
      </c>
      <c r="S33" s="4">
        <f>IF(ISNA(Y33),Constants!$O$1,"")</f>
      </c>
      <c r="T33" s="3">
        <f t="shared" si="4"/>
        <v>22</v>
      </c>
      <c r="U33" s="1">
        <f>IF(T33&gt;0,Constants!$G$16-T33,0)</f>
        <v>15</v>
      </c>
      <c r="V33" s="1">
        <f t="shared" si="5"/>
        <v>37</v>
      </c>
      <c r="W33" s="12">
        <f t="shared" si="2"/>
        <v>0.5</v>
      </c>
      <c r="X33" s="12">
        <f>IF(V33=0,0.5,0)</f>
        <v>0</v>
      </c>
      <c r="Y33" t="str">
        <f>VLOOKUP(U33,Constants!$I$16:$J$24,2,FALSE)</f>
        <v> </v>
      </c>
    </row>
    <row r="34" spans="1:25" ht="14.25">
      <c r="A34" s="7" t="s">
        <v>44</v>
      </c>
      <c r="B34" t="s">
        <v>72</v>
      </c>
      <c r="C34" s="10">
        <v>2</v>
      </c>
      <c r="D34" s="1">
        <f>IF(C34&gt;0,LOOKUP(C34,Constants!$A$4:$A$40,Constants!$B$4:$B$40),)</f>
        <v>9</v>
      </c>
      <c r="E34" s="10">
        <v>7</v>
      </c>
      <c r="F34" s="1">
        <f>IF(E34&gt;0,LOOKUP(E34,Constants!$A$4:$A$40,Constants!$B$4:$B$40),)</f>
        <v>4</v>
      </c>
      <c r="G34" s="10">
        <v>4</v>
      </c>
      <c r="H34" s="1">
        <f>IF(G34&gt;0,LOOKUP(G34,Constants!$A$4:$A$40,Constants!$B$4:$B$40),)</f>
        <v>7</v>
      </c>
      <c r="I34" s="10"/>
      <c r="J34" s="1">
        <f>IF(I34&gt;0,LOOKUP(I34,Constants!$A$4:$A$40,Constants!$B$4:$B$40),)</f>
        <v>0</v>
      </c>
      <c r="K34" s="10">
        <v>6</v>
      </c>
      <c r="L34" s="1">
        <f>IF(K34&gt;0,LOOKUP(K34,Constants!$A$4:$A$40,Constants!$B$4:$B$40),)</f>
        <v>5</v>
      </c>
      <c r="M34" s="10">
        <v>5</v>
      </c>
      <c r="N34" s="1">
        <f>IF(M34&gt;0,LOOKUP(M34,Constants!$A$4:$A$40,Constants!$B$4:$B$40),)</f>
        <v>6</v>
      </c>
      <c r="O34" s="10">
        <v>3</v>
      </c>
      <c r="P34" s="1">
        <f>IF(O34&gt;0,LOOKUP(O34,Constants!$A$4:$A$40,Constants!$B$4:$B$40),)</f>
        <v>8</v>
      </c>
      <c r="Q34" s="10">
        <v>1</v>
      </c>
      <c r="R34" s="1">
        <f>IF(Q34&gt;0,LOOKUP(Q34,Constants!$A$4:$A$40,Constants!$B$4:$B$40),)</f>
        <v>11</v>
      </c>
      <c r="S34" s="4">
        <f>IF(ISNA(Y34),Constants!$O$1,"")</f>
      </c>
      <c r="T34" s="3">
        <f t="shared" si="4"/>
        <v>50</v>
      </c>
      <c r="U34" s="1">
        <f>IF(T34&gt;0,Constants!$G$3-T34,0)</f>
        <v>3</v>
      </c>
      <c r="V34" s="1">
        <f t="shared" si="5"/>
        <v>53</v>
      </c>
      <c r="W34" s="12">
        <f t="shared" si="2"/>
        <v>0.5</v>
      </c>
      <c r="X34" s="12">
        <f t="shared" si="3"/>
        <v>0</v>
      </c>
      <c r="Y34" t="str">
        <f>VLOOKUP(U34,Constants!$I$3:$J$11,2,FALSE)</f>
        <v> </v>
      </c>
    </row>
    <row r="35" spans="1:25" ht="14.25">
      <c r="A35" s="7"/>
      <c r="B35" t="s">
        <v>73</v>
      </c>
      <c r="C35" s="10"/>
      <c r="D35" s="1">
        <f>IF(C35&gt;0,LOOKUP(C35,Constants!$D$4:$D$40,Constants!$E$4:$E$40),)</f>
        <v>0</v>
      </c>
      <c r="E35" s="10">
        <v>2</v>
      </c>
      <c r="F35" s="1">
        <f>IF(E35&gt;0,LOOKUP(E35,Constants!$D$4:$D$40,Constants!$E$4:$E$40),)</f>
        <v>7</v>
      </c>
      <c r="G35" s="10"/>
      <c r="H35" s="1">
        <f>IF(G35&gt;0,LOOKUP(G35,Constants!$D$4:$D$40,Constants!$E$4:$E$40),)</f>
        <v>0</v>
      </c>
      <c r="I35" s="10"/>
      <c r="J35" s="1">
        <f>IF(I35&gt;0,LOOKUP(I35,Constants!$D$4:$D$40,Constants!$E$4:$E$40),)</f>
        <v>0</v>
      </c>
      <c r="K35" s="10"/>
      <c r="L35" s="1">
        <f>IF(K35&gt;0,LOOKUP(K35,Constants!$D$4:$D$40,Constants!$E$4:$E$40),)</f>
        <v>0</v>
      </c>
      <c r="M35" s="10"/>
      <c r="N35" s="1">
        <f>IF(M35&gt;0,LOOKUP(M35,Constants!$D$4:$E$40,Constants!$E$4:$E$40),)</f>
        <v>0</v>
      </c>
      <c r="O35" s="10">
        <v>1</v>
      </c>
      <c r="P35" s="1">
        <f>IF(O35&gt;0,LOOKUP(O35,Constants!$D$4:$D$40,Constants!$E$4:$E$40),)</f>
        <v>9</v>
      </c>
      <c r="Q35" s="10"/>
      <c r="R35" s="1">
        <f>IF(Q35&gt;0,LOOKUP(Q35,Constants!$D$4:$E$40,Constants!$E$4:$E$40),)</f>
        <v>0</v>
      </c>
      <c r="S35" s="4">
        <f>IF(ISNA(Y35),Constants!$O$1,"")</f>
      </c>
      <c r="T35" s="3">
        <f t="shared" si="4"/>
        <v>16</v>
      </c>
      <c r="U35" s="1">
        <f>IF(T35&gt;0,Constants!$G$16-T35,0)</f>
        <v>21</v>
      </c>
      <c r="V35" s="1">
        <f t="shared" si="5"/>
        <v>37</v>
      </c>
      <c r="W35" s="12">
        <f t="shared" si="2"/>
        <v>0.5</v>
      </c>
      <c r="X35" s="12">
        <f>IF(V35=0,0.5,0)</f>
        <v>0</v>
      </c>
      <c r="Y35" t="str">
        <f>VLOOKUP(U35,Constants!$I$16:$J$24,2,FALSE)</f>
        <v> </v>
      </c>
    </row>
    <row r="36" spans="1:25" ht="14.25">
      <c r="A36" s="7" t="s">
        <v>45</v>
      </c>
      <c r="B36" t="s">
        <v>72</v>
      </c>
      <c r="C36" s="10">
        <v>4</v>
      </c>
      <c r="D36" s="1">
        <f>IF(C36&gt;0,LOOKUP(C36,Constants!$A$4:$A$40,Constants!$B$4:$B$40),)</f>
        <v>7</v>
      </c>
      <c r="E36" s="10">
        <v>3</v>
      </c>
      <c r="F36" s="1">
        <f>IF(E36&gt;0,LOOKUP(E36,Constants!$A$4:$A$40,Constants!$B$4:$B$40),)</f>
        <v>8</v>
      </c>
      <c r="G36" s="10">
        <v>2</v>
      </c>
      <c r="H36" s="1">
        <f>IF(G36&gt;0,LOOKUP(G36,Constants!$A$4:$A$40,Constants!$B$4:$B$40),)</f>
        <v>9</v>
      </c>
      <c r="I36" s="10"/>
      <c r="J36" s="1">
        <f>IF(I36&gt;0,LOOKUP(I36,Constants!$A$4:$A$40,Constants!$B$4:$B$40),)</f>
        <v>0</v>
      </c>
      <c r="K36" s="10">
        <v>7</v>
      </c>
      <c r="L36" s="1">
        <f>IF(K36&gt;0,LOOKUP(K36,Constants!$A$4:$A$40,Constants!$B$4:$B$40),)</f>
        <v>4</v>
      </c>
      <c r="M36" s="10">
        <v>6</v>
      </c>
      <c r="N36" s="1">
        <f>IF(M36&gt;0,LOOKUP(M36,Constants!$A$4:$A$40,Constants!$B$4:$B$40),)</f>
        <v>5</v>
      </c>
      <c r="O36" s="10">
        <v>1</v>
      </c>
      <c r="P36" s="1">
        <f>IF(O36&gt;0,LOOKUP(O36,Constants!$A$4:$A$40,Constants!$B$4:$B$40),)</f>
        <v>11</v>
      </c>
      <c r="Q36" s="10">
        <v>5</v>
      </c>
      <c r="R36" s="1">
        <f>IF(Q36&gt;0,LOOKUP(Q36,Constants!$A$4:$A$40,Constants!$B$4:$B$40),)</f>
        <v>6</v>
      </c>
      <c r="S36" s="4">
        <f>IF(ISNA(Y36),Constants!$O$1,"")</f>
      </c>
      <c r="T36" s="3">
        <f t="shared" si="4"/>
        <v>50</v>
      </c>
      <c r="U36" s="1">
        <f>IF(T36&gt;0,Constants!$G$3-T36,0)</f>
        <v>3</v>
      </c>
      <c r="V36" s="1">
        <f t="shared" si="5"/>
        <v>53</v>
      </c>
      <c r="W36" s="12">
        <f t="shared" si="2"/>
        <v>0.5</v>
      </c>
      <c r="X36" s="12">
        <f t="shared" si="3"/>
        <v>0</v>
      </c>
      <c r="Y36" t="str">
        <f>VLOOKUP(U36,Constants!$I$3:$J$11,2,FALSE)</f>
        <v> </v>
      </c>
    </row>
    <row r="37" spans="1:25" ht="14.25">
      <c r="A37" s="7"/>
      <c r="B37" t="s">
        <v>73</v>
      </c>
      <c r="C37" s="10">
        <v>1</v>
      </c>
      <c r="D37" s="1">
        <f>IF(C37&gt;0,LOOKUP(C37,Constants!$D$4:$D$40,Constants!$E$4:$E$40),)</f>
        <v>9</v>
      </c>
      <c r="E37" s="10">
        <v>2</v>
      </c>
      <c r="F37" s="1">
        <f>IF(E37&gt;0,LOOKUP(E37,Constants!$D$4:$D$40,Constants!$E$4:$E$40),)</f>
        <v>7</v>
      </c>
      <c r="G37" s="10"/>
      <c r="H37" s="1">
        <f>IF(G37&gt;0,LOOKUP(G37,Constants!$D$4:$D$40,Constants!$E$4:$E$40),)</f>
        <v>0</v>
      </c>
      <c r="I37" s="10"/>
      <c r="J37" s="1">
        <f>IF(I37&gt;0,LOOKUP(I37,Constants!$D$4:$D$40,Constants!$E$4:$E$40),)</f>
        <v>0</v>
      </c>
      <c r="K37" s="10"/>
      <c r="L37" s="1">
        <f>IF(K37&gt;0,LOOKUP(K37,Constants!$D$4:$D$40,Constants!$E$4:$E$40),)</f>
        <v>0</v>
      </c>
      <c r="M37" s="10">
        <v>3</v>
      </c>
      <c r="N37" s="1">
        <f>IF(M37&gt;0,LOOKUP(M37,Constants!$D$4:$E$40,Constants!$E$4:$E$40),)</f>
        <v>6</v>
      </c>
      <c r="O37" s="10">
        <v>4</v>
      </c>
      <c r="P37" s="1">
        <f>IF(O37&gt;0,LOOKUP(O37,Constants!$D$4:$D$40,Constants!$E$4:$E$40),)</f>
        <v>5</v>
      </c>
      <c r="Q37" s="10">
        <v>5</v>
      </c>
      <c r="R37" s="1">
        <f>IF(Q37&gt;0,LOOKUP(Q37,Constants!$D$4:$E$40,Constants!$E$4:$E$40),)</f>
        <v>4</v>
      </c>
      <c r="S37" s="4">
        <f>IF(ISNA(Y37),Constants!$O$1,"")</f>
      </c>
      <c r="T37" s="3">
        <f t="shared" si="4"/>
        <v>31</v>
      </c>
      <c r="U37" s="1">
        <f>IF(T37&gt;0,Constants!$G$16-T37,0)</f>
        <v>6</v>
      </c>
      <c r="V37" s="1">
        <f t="shared" si="5"/>
        <v>37</v>
      </c>
      <c r="W37" s="12">
        <f t="shared" si="2"/>
        <v>0.5</v>
      </c>
      <c r="X37" s="12">
        <f>IF(V37=0,0.5,0)</f>
        <v>0</v>
      </c>
      <c r="Y37" t="str">
        <f>VLOOKUP(U37,Constants!$I$16:$J$24,2,FALSE)</f>
        <v> </v>
      </c>
    </row>
    <row r="38" spans="1:25" ht="14.25">
      <c r="A38" s="7" t="s">
        <v>25</v>
      </c>
      <c r="C38" s="10"/>
      <c r="D38" s="1">
        <f>IF(C38&gt;0,LOOKUP(C38,Constants!$A$4:$A$40,Constants!$B$4:$B$40),)</f>
        <v>0</v>
      </c>
      <c r="E38" s="10">
        <v>2</v>
      </c>
      <c r="F38" s="1">
        <f>IF(E38&gt;0,LOOKUP(E38,Constants!$A$4:$A$40,Constants!$B$4:$B$40),)</f>
        <v>9</v>
      </c>
      <c r="G38" s="10">
        <v>4</v>
      </c>
      <c r="H38" s="1">
        <f>IF(G38&gt;0,LOOKUP(G38,Constants!$A$4:$A$40,Constants!$B$4:$B$40),)</f>
        <v>7</v>
      </c>
      <c r="I38" s="10"/>
      <c r="J38" s="1">
        <f>IF(I38&gt;0,LOOKUP(I38,Constants!$A$4:$A$40,Constants!$B$4:$B$40),)</f>
        <v>0</v>
      </c>
      <c r="K38" s="10"/>
      <c r="L38" s="1">
        <f>IF(K38&gt;0,LOOKUP(K38,Constants!$A$4:$A$40,Constants!$B$4:$B$40),)</f>
        <v>0</v>
      </c>
      <c r="M38" s="10"/>
      <c r="N38" s="1">
        <f>IF(M38&gt;0,LOOKUP(M38,Constants!$A$4:$A$40,Constants!$B$4:$B$40),)</f>
        <v>0</v>
      </c>
      <c r="O38" s="10">
        <v>1</v>
      </c>
      <c r="P38" s="1">
        <f>IF(O38&gt;0,LOOKUP(O38,Constants!$A$4:$A$40,Constants!$B$4:$B$40),)</f>
        <v>11</v>
      </c>
      <c r="Q38" s="10">
        <v>3</v>
      </c>
      <c r="R38" s="1">
        <f>IF(Q38&gt;0,LOOKUP(Q38,Constants!$A$4:$A$40,Constants!$B$4:$B$40),)</f>
        <v>8</v>
      </c>
      <c r="S38" s="4">
        <f>IF(ISNA(Y38),Constants!$O$1,"")</f>
      </c>
      <c r="T38" s="3">
        <f t="shared" si="4"/>
        <v>35</v>
      </c>
      <c r="U38" s="1">
        <f>IF(T38&gt;0,Constants!$G$3-T38,0)</f>
        <v>18</v>
      </c>
      <c r="V38" s="1">
        <f t="shared" si="5"/>
        <v>53</v>
      </c>
      <c r="W38" s="12">
        <f>IF(V38&gt;0,1,0)</f>
        <v>1</v>
      </c>
      <c r="X38" s="12">
        <f>IF(V38=0,1,0)</f>
        <v>0</v>
      </c>
      <c r="Y38" t="str">
        <f>VLOOKUP(U38,Constants!$I$3:$J$11,2,FALSE)</f>
        <v> </v>
      </c>
    </row>
    <row r="39" spans="1:25" ht="14.25">
      <c r="A39" s="7" t="s">
        <v>26</v>
      </c>
      <c r="C39" s="10"/>
      <c r="D39" s="1">
        <f>IF(C39&gt;0,LOOKUP(C39,Constants!$A$4:$A$40,Constants!$B$4:$B$40),)</f>
        <v>0</v>
      </c>
      <c r="E39" s="10">
        <v>2</v>
      </c>
      <c r="F39" s="1">
        <f>IF(E39&gt;0,LOOKUP(E39,Constants!$A$4:$A$40,Constants!$B$4:$B$40),)</f>
        <v>9</v>
      </c>
      <c r="G39" s="10">
        <v>5</v>
      </c>
      <c r="H39" s="1">
        <f>IF(G39&gt;0,LOOKUP(G39,Constants!$A$4:$A$40,Constants!$B$4:$B$40),)</f>
        <v>6</v>
      </c>
      <c r="I39" s="10"/>
      <c r="J39" s="1">
        <f>IF(I39&gt;0,LOOKUP(I39,Constants!$A$4:$A$40,Constants!$B$4:$B$40),)</f>
        <v>0</v>
      </c>
      <c r="K39" s="10"/>
      <c r="L39" s="1">
        <f>IF(K39&gt;0,LOOKUP(K39,Constants!$A$4:$A$40,Constants!$B$4:$B$40),)</f>
        <v>0</v>
      </c>
      <c r="M39" s="10">
        <v>4</v>
      </c>
      <c r="N39" s="1">
        <f>IF(M39&gt;0,LOOKUP(M39,Constants!$A$4:$A$40,Constants!$B$4:$B$40),)</f>
        <v>7</v>
      </c>
      <c r="O39" s="10">
        <v>1</v>
      </c>
      <c r="P39" s="1">
        <f>IF(O39&gt;0,LOOKUP(O39,Constants!$A$4:$A$40,Constants!$B$4:$B$40),)</f>
        <v>11</v>
      </c>
      <c r="Q39" s="10">
        <v>3</v>
      </c>
      <c r="R39" s="1">
        <f>IF(Q39&gt;0,LOOKUP(Q39,Constants!$A$4:$A$40,Constants!$B$4:$B$40),)</f>
        <v>8</v>
      </c>
      <c r="S39" s="4">
        <f>IF(ISNA(Y39),Constants!$O$1,"")</f>
      </c>
      <c r="T39" s="3">
        <f t="shared" si="4"/>
        <v>41</v>
      </c>
      <c r="U39" s="1">
        <f>IF(T39&gt;0,Constants!$G$3-T39,0)</f>
        <v>12</v>
      </c>
      <c r="V39" s="1">
        <f t="shared" si="5"/>
        <v>53</v>
      </c>
      <c r="W39" s="12">
        <f>IF(V39&gt;0,1,0)</f>
        <v>1</v>
      </c>
      <c r="X39" s="12">
        <f>IF(V39=0,1,0)</f>
        <v>0</v>
      </c>
      <c r="Y39" t="str">
        <f>VLOOKUP(U39,Constants!$I$3:$J$11,2,FALSE)</f>
        <v> </v>
      </c>
    </row>
    <row r="40" spans="1:24" ht="14.25">
      <c r="A40" s="7"/>
      <c r="C40" s="3"/>
      <c r="D40" s="1"/>
      <c r="E40" s="3"/>
      <c r="F40" s="1"/>
      <c r="G40" s="3"/>
      <c r="H40" s="1"/>
      <c r="I40" s="3"/>
      <c r="J40" s="1"/>
      <c r="K40" s="3"/>
      <c r="L40" s="1"/>
      <c r="M40" s="3"/>
      <c r="N40" s="1"/>
      <c r="O40" s="3"/>
      <c r="P40" s="1"/>
      <c r="Q40" s="3"/>
      <c r="R40" s="1"/>
      <c r="S40" s="4"/>
      <c r="T40" s="3"/>
      <c r="U40" s="1"/>
      <c r="V40" s="1"/>
      <c r="W40" s="1"/>
      <c r="X40" s="1"/>
    </row>
    <row r="41" spans="1:24" ht="18">
      <c r="A41" s="7"/>
      <c r="B41" s="54" t="s">
        <v>28</v>
      </c>
      <c r="C41" s="3"/>
      <c r="D41" s="8">
        <f>SUM(D4:D39)</f>
        <v>105</v>
      </c>
      <c r="E41" s="3"/>
      <c r="F41" s="8">
        <f>SUM(F4:F39)</f>
        <v>196</v>
      </c>
      <c r="G41" s="3"/>
      <c r="H41" s="8">
        <f>SUM(H4:H39)</f>
        <v>160</v>
      </c>
      <c r="I41" s="3"/>
      <c r="J41" s="8">
        <f>SUM(J4:J39)</f>
        <v>30</v>
      </c>
      <c r="K41" s="3"/>
      <c r="L41" s="8">
        <f>SUM(L4:L39)</f>
        <v>35</v>
      </c>
      <c r="M41" s="3"/>
      <c r="N41" s="8">
        <f>SUM(N4:N39)</f>
        <v>155</v>
      </c>
      <c r="O41" s="3"/>
      <c r="P41" s="8">
        <f>SUM(P4:P39)</f>
        <v>265</v>
      </c>
      <c r="Q41" s="3"/>
      <c r="R41" s="8">
        <f>SUM(R4:R39)</f>
        <v>183</v>
      </c>
      <c r="S41" s="4"/>
      <c r="T41" s="85">
        <f>SUM(T4:T39)</f>
        <v>1129</v>
      </c>
      <c r="U41" s="9">
        <f>SUM(U4:U39)</f>
        <v>507</v>
      </c>
      <c r="V41" s="9">
        <f>SUM(V4:V39)</f>
        <v>1636</v>
      </c>
      <c r="W41" s="9">
        <f>SUM(W4:W39)</f>
        <v>19</v>
      </c>
      <c r="X41" s="9">
        <f>SUM(X4:X39)</f>
        <v>0</v>
      </c>
    </row>
  </sheetData>
  <mergeCells count="17">
    <mergeCell ref="Q1:R1"/>
    <mergeCell ref="C2:D2"/>
    <mergeCell ref="E2:F2"/>
    <mergeCell ref="G2:H2"/>
    <mergeCell ref="I2:J2"/>
    <mergeCell ref="K2:L2"/>
    <mergeCell ref="M2:N2"/>
    <mergeCell ref="O2:P2"/>
    <mergeCell ref="Q2:R2"/>
    <mergeCell ref="I1:J1"/>
    <mergeCell ref="K1:L1"/>
    <mergeCell ref="M1:N1"/>
    <mergeCell ref="O1:P1"/>
    <mergeCell ref="A1:B1"/>
    <mergeCell ref="C1:D1"/>
    <mergeCell ref="E1:F1"/>
    <mergeCell ref="G1:H1"/>
  </mergeCells>
  <printOptions gridLines="1" horizontalCentered="1"/>
  <pageMargins left="0.7480314960629921" right="0.7480314960629921" top="0.984251968503937" bottom="0.984251968503937" header="0.5118110236220472" footer="0.5118110236220472"/>
  <pageSetup fitToHeight="1" fitToWidth="1" horizontalDpi="75" verticalDpi="75" orientation="landscape" paperSize="9" scale="74" r:id="rId1"/>
</worksheet>
</file>

<file path=xl/worksheets/sheet3.xml><?xml version="1.0" encoding="utf-8"?>
<worksheet xmlns="http://schemas.openxmlformats.org/spreadsheetml/2006/main" xmlns:r="http://schemas.openxmlformats.org/officeDocument/2006/relationships">
  <dimension ref="A1:N192"/>
  <sheetViews>
    <sheetView zoomScale="75" zoomScaleNormal="75" workbookViewId="0" topLeftCell="A1">
      <pane ySplit="1" topLeftCell="BM168" activePane="bottomLeft" state="frozen"/>
      <selection pane="topLeft" activeCell="A1" sqref="A1"/>
      <selection pane="bottomLeft" activeCell="F190" sqref="F190"/>
    </sheetView>
  </sheetViews>
  <sheetFormatPr defaultColWidth="9" defaultRowHeight="14.25"/>
  <cols>
    <col min="1" max="1" width="3" style="9" customWidth="1"/>
    <col min="2" max="2" width="6.09765625" style="9" hidden="1" customWidth="1"/>
    <col min="3" max="3" width="24.59765625" style="2" customWidth="1"/>
    <col min="4" max="4" width="3.09765625" style="2" customWidth="1"/>
    <col min="5" max="5" width="15.59765625" style="2" customWidth="1"/>
    <col min="6" max="6" width="8.19921875" style="33" customWidth="1"/>
    <col min="7" max="7" width="13.19921875" style="2" customWidth="1"/>
    <col min="8" max="8" width="3.19921875" style="9" customWidth="1"/>
    <col min="9" max="9" width="6.09765625" style="9" hidden="1" customWidth="1"/>
    <col min="10" max="10" width="24.59765625" style="2" customWidth="1"/>
    <col min="11" max="11" width="3.09765625" style="2" bestFit="1" customWidth="1"/>
    <col min="12" max="12" width="15.59765625" style="2" bestFit="1" customWidth="1"/>
    <col min="13" max="13" width="8.3984375" style="33" customWidth="1"/>
    <col min="14" max="16384" width="9" style="2" customWidth="1"/>
  </cols>
  <sheetData>
    <row r="1" spans="1:13" ht="15" customHeight="1">
      <c r="A1" s="89" t="s">
        <v>68</v>
      </c>
      <c r="B1" s="89"/>
      <c r="C1" s="89"/>
      <c r="D1" s="89"/>
      <c r="E1" s="89"/>
      <c r="F1" s="89"/>
      <c r="H1" s="89" t="s">
        <v>69</v>
      </c>
      <c r="I1" s="89"/>
      <c r="J1" s="89"/>
      <c r="K1" s="89"/>
      <c r="L1" s="89"/>
      <c r="M1" s="89"/>
    </row>
    <row r="2" spans="1:12" ht="14.25">
      <c r="A2" s="25" t="s">
        <v>18</v>
      </c>
      <c r="B2" s="25"/>
      <c r="D2" s="31" t="s">
        <v>37</v>
      </c>
      <c r="E2" s="32"/>
      <c r="H2" s="25" t="s">
        <v>18</v>
      </c>
      <c r="I2" s="25"/>
      <c r="K2" s="31" t="s">
        <v>38</v>
      </c>
      <c r="L2" s="32"/>
    </row>
    <row r="3" spans="1:14" ht="14.25">
      <c r="A3" s="59">
        <v>1</v>
      </c>
      <c r="B3" s="9">
        <f>IF(D3&gt;0,D3*100+1,0)</f>
        <v>801</v>
      </c>
      <c r="C3" s="2" t="str">
        <f>IF(B3&gt;0,LOOKUP(B3,Declarations!$D$2:$D$290,Declarations!$F$2:$F$290),"")</f>
        <v>Martin Chomanicz</v>
      </c>
      <c r="D3" s="23">
        <v>8</v>
      </c>
      <c r="E3" s="2" t="str">
        <f>IF(D3&gt;0,LOOKUP(D3,Constants!$L$2:$L$18,Constants!$M$2:$M$18),"")</f>
        <v>City of Stoke AC</v>
      </c>
      <c r="F3" s="30" t="s">
        <v>265</v>
      </c>
      <c r="G3" s="2" t="s">
        <v>313</v>
      </c>
      <c r="H3" s="59">
        <v>1</v>
      </c>
      <c r="I3" s="9">
        <f>IF(K3&gt;0,K3*100+1,0)</f>
        <v>2201</v>
      </c>
      <c r="J3" s="2" t="str">
        <f>IF(I3&gt;0,LOOKUP(I3,Declarations!$D$2:$D$290,Declarations!$F$2:$F$290),"")</f>
        <v>Jamie Blundell</v>
      </c>
      <c r="K3" s="23">
        <v>22</v>
      </c>
      <c r="L3" s="2" t="str">
        <f>IF(K3&gt;0,LOOKUP(K3,Constants!$L$2:$L$18,Constants!$M$2:$M$18),"")</f>
        <v>Coventry Godiva Harriers &amp; Sphinx AC</v>
      </c>
      <c r="M3" s="30" t="s">
        <v>267</v>
      </c>
      <c r="N3" s="2" t="s">
        <v>315</v>
      </c>
    </row>
    <row r="4" spans="1:13" ht="14.25">
      <c r="A4" s="59">
        <v>2</v>
      </c>
      <c r="B4" s="9">
        <f aca="true" t="shared" si="0" ref="B4:B10">IF(D4&gt;0,D4*100+1,0)</f>
        <v>401</v>
      </c>
      <c r="C4" s="2" t="str">
        <f>IF(B4&gt;0,LOOKUP(B4,Declarations!$D$2:$D$290,Declarations!$F$2:$F$290),"")</f>
        <v>Wesley Weathers</v>
      </c>
      <c r="D4" s="23">
        <v>4</v>
      </c>
      <c r="E4" s="2" t="str">
        <f>IF(D4&gt;0,LOOKUP(D4,Constants!$L$2:$L$18,Constants!$M$2:$M$18),"")</f>
        <v>Leicester Coritanian AC</v>
      </c>
      <c r="F4" s="30" t="s">
        <v>266</v>
      </c>
      <c r="G4" s="2" t="s">
        <v>315</v>
      </c>
      <c r="H4" s="59">
        <v>2</v>
      </c>
      <c r="I4" s="9">
        <f aca="true" t="shared" si="1" ref="I4:I10">IF(K4&gt;0,K4*100+1,0)</f>
        <v>3301</v>
      </c>
      <c r="J4" s="2" t="str">
        <f>IF(I4&gt;0,LOOKUP(I4,Declarations!$D$2:$D$290,Declarations!$F$2:$F$290),"")</f>
        <v>Sam Worrall</v>
      </c>
      <c r="K4" s="23">
        <v>33</v>
      </c>
      <c r="L4" s="2" t="str">
        <f>IF(K4&gt;0,LOOKUP(K4,Constants!$L$2:$L$18,Constants!$M$2:$M$18),"")</f>
        <v>Derby AC</v>
      </c>
      <c r="M4" s="30" t="s">
        <v>268</v>
      </c>
    </row>
    <row r="5" spans="1:13" ht="14.25">
      <c r="A5" s="59">
        <v>3</v>
      </c>
      <c r="B5" s="9">
        <f t="shared" si="0"/>
        <v>701</v>
      </c>
      <c r="C5" s="2" t="str">
        <f>IF(B5&gt;0,LOOKUP(B5,Declarations!$D$2:$D$290,Declarations!$F$2:$F$290),"")</f>
        <v>Richard Bown</v>
      </c>
      <c r="D5" s="23">
        <v>7</v>
      </c>
      <c r="E5" s="2" t="str">
        <f>IF(D5&gt;0,LOOKUP(D5,Constants!$L$2:$L$18,Constants!$M$2:$M$18),"")</f>
        <v>Tamworth AC</v>
      </c>
      <c r="F5" s="30" t="s">
        <v>266</v>
      </c>
      <c r="G5" s="2" t="s">
        <v>315</v>
      </c>
      <c r="H5" s="59">
        <v>3</v>
      </c>
      <c r="I5" s="9">
        <f t="shared" si="1"/>
        <v>7701</v>
      </c>
      <c r="J5" s="2" t="str">
        <f>IF(I5&gt;0,LOOKUP(I5,Declarations!$D$2:$D$290,Declarations!$F$2:$F$290),"")</f>
        <v>Nick Crawford</v>
      </c>
      <c r="K5" s="23">
        <v>77</v>
      </c>
      <c r="L5" s="2" t="str">
        <f>IF(K5&gt;0,LOOKUP(K5,Constants!$L$2:$L$18,Constants!$M$2:$M$18),"")</f>
        <v>Tamworth AC</v>
      </c>
      <c r="M5" s="30" t="s">
        <v>270</v>
      </c>
    </row>
    <row r="6" spans="1:13" ht="14.25">
      <c r="A6" s="59">
        <v>4</v>
      </c>
      <c r="B6" s="9">
        <f t="shared" si="0"/>
        <v>601</v>
      </c>
      <c r="C6" s="2" t="str">
        <f>IF(B6&gt;0,LOOKUP(B6,Declarations!$D$2:$D$290,Declarations!$F$2:$F$290),"")</f>
        <v>Tom Stenton</v>
      </c>
      <c r="D6" s="23">
        <v>6</v>
      </c>
      <c r="E6" s="2" t="str">
        <f>IF(D6&gt;0,LOOKUP(D6,Constants!$L$2:$L$18,Constants!$M$2:$M$18),"")</f>
        <v>Rugby &amp; Northampton AC</v>
      </c>
      <c r="F6" s="30" t="s">
        <v>267</v>
      </c>
      <c r="G6" s="2" t="s">
        <v>315</v>
      </c>
      <c r="H6" s="59">
        <v>4</v>
      </c>
      <c r="I6" s="9">
        <f t="shared" si="1"/>
        <v>6601</v>
      </c>
      <c r="J6" s="2" t="str">
        <f>IF(I6&gt;0,LOOKUP(I6,Declarations!$D$2:$D$290,Declarations!$F$2:$F$290),"")</f>
        <v>Seb Steel</v>
      </c>
      <c r="K6" s="23">
        <v>66</v>
      </c>
      <c r="L6" s="2" t="str">
        <f>IF(K6&gt;0,LOOKUP(K6,Constants!$L$2:$L$18,Constants!$M$2:$M$18),"")</f>
        <v>Rugby &amp; Northampton AC</v>
      </c>
      <c r="M6" s="30" t="s">
        <v>271</v>
      </c>
    </row>
    <row r="7" spans="1:13" ht="14.25">
      <c r="A7" s="59">
        <v>5</v>
      </c>
      <c r="B7" s="9">
        <f t="shared" si="0"/>
        <v>301</v>
      </c>
      <c r="C7" s="2" t="str">
        <f>IF(B7&gt;0,LOOKUP(B7,Declarations!$D$2:$D$290,Declarations!$F$2:$F$290),"")</f>
        <v>Duncan Hawksworth</v>
      </c>
      <c r="D7" s="23">
        <v>3</v>
      </c>
      <c r="E7" s="2" t="str">
        <f>IF(D7&gt;0,LOOKUP(D7,Constants!$L$2:$L$18,Constants!$M$2:$M$18),"")</f>
        <v>Derby AC</v>
      </c>
      <c r="F7" s="30" t="s">
        <v>268</v>
      </c>
      <c r="H7" s="59">
        <v>5</v>
      </c>
      <c r="I7" s="9">
        <f t="shared" si="1"/>
        <v>0</v>
      </c>
      <c r="J7" s="2">
        <f>IF(I7&gt;0,LOOKUP(I7,Declarations!$D$2:$D$290,Declarations!$F$2:$F$290),"")</f>
      </c>
      <c r="K7" s="23"/>
      <c r="L7" s="2">
        <f>IF(K7&gt;0,LOOKUP(K7,Constants!$L$2:$L$18,Constants!$M$2:$M$18),"")</f>
      </c>
      <c r="M7" s="30"/>
    </row>
    <row r="8" spans="1:13" ht="14.25">
      <c r="A8" s="59">
        <v>6</v>
      </c>
      <c r="B8" s="9">
        <f t="shared" si="0"/>
        <v>201</v>
      </c>
      <c r="C8" s="2" t="str">
        <f>IF(B8&gt;0,LOOKUP(B8,Declarations!$D$2:$D$290,Declarations!$F$2:$F$290),"")</f>
        <v>Paul McGranchan</v>
      </c>
      <c r="D8" s="23">
        <v>2</v>
      </c>
      <c r="E8" s="2" t="str">
        <f>IF(D8&gt;0,LOOKUP(D8,Constants!$L$2:$L$18,Constants!$M$2:$M$18),"")</f>
        <v>Coventry Godiva Harriers &amp; Sphinx AC</v>
      </c>
      <c r="F8" s="30" t="s">
        <v>269</v>
      </c>
      <c r="H8" s="59">
        <v>6</v>
      </c>
      <c r="I8" s="9">
        <f t="shared" si="1"/>
        <v>0</v>
      </c>
      <c r="J8" s="2">
        <f>IF(I8&gt;0,LOOKUP(I8,Declarations!$D$2:$D$290,Declarations!$F$2:$F$290),"")</f>
      </c>
      <c r="K8" s="23"/>
      <c r="L8" s="2">
        <f>IF(K8&gt;0,LOOKUP(K8,Constants!$L$2:$L$18,Constants!$M$2:$M$18),"")</f>
      </c>
      <c r="M8" s="30"/>
    </row>
    <row r="9" spans="1:13" ht="14.25">
      <c r="A9" s="59">
        <v>7</v>
      </c>
      <c r="B9" s="9">
        <f t="shared" si="0"/>
        <v>0</v>
      </c>
      <c r="C9" s="2">
        <f>IF(B9&gt;0,LOOKUP(B9,Declarations!$D$2:$D$290,Declarations!$F$2:$F$290),"")</f>
      </c>
      <c r="D9" s="23"/>
      <c r="E9" s="2">
        <f>IF(D9&gt;0,LOOKUP(D9,Constants!$L$2:$L$18,Constants!$M$2:$M$18),"")</f>
      </c>
      <c r="F9" s="30"/>
      <c r="H9" s="59">
        <v>7</v>
      </c>
      <c r="I9" s="9">
        <f t="shared" si="1"/>
        <v>0</v>
      </c>
      <c r="J9" s="2">
        <f>IF(I9&gt;0,LOOKUP(I9,Declarations!$D$2:$D$290,Declarations!$F$2:$F$290),"")</f>
      </c>
      <c r="K9" s="23"/>
      <c r="L9" s="2">
        <f>IF(K9&gt;0,LOOKUP(K9,Constants!$L$2:$L$18,Constants!$M$2:$M$18),"")</f>
      </c>
      <c r="M9" s="30"/>
    </row>
    <row r="10" spans="1:13" ht="14.25">
      <c r="A10" s="59">
        <v>8</v>
      </c>
      <c r="B10" s="9">
        <f t="shared" si="0"/>
        <v>0</v>
      </c>
      <c r="C10" s="2">
        <f>IF(B10&gt;0,LOOKUP(B10,Declarations!$D$2:$D$290,Declarations!$F$2:$F$290),"")</f>
      </c>
      <c r="D10" s="23"/>
      <c r="E10" s="2">
        <f>IF(D10&gt;0,LOOKUP(D10,Constants!$L$2:$L$18,Constants!$M$2:$M$18),"")</f>
      </c>
      <c r="F10" s="30"/>
      <c r="H10" s="59">
        <v>8</v>
      </c>
      <c r="I10" s="9">
        <f t="shared" si="1"/>
        <v>0</v>
      </c>
      <c r="J10" s="2">
        <f>IF(I10&gt;0,LOOKUP(I10,Declarations!$D$2:$D$290,Declarations!$F$2:$F$290),"")</f>
      </c>
      <c r="K10" s="23"/>
      <c r="L10" s="2">
        <f>IF(K10&gt;0,LOOKUP(K10,Constants!$L$2:$L$18,Constants!$M$2:$M$18),"")</f>
      </c>
      <c r="M10" s="30"/>
    </row>
    <row r="12" spans="1:12" ht="14.25">
      <c r="A12" s="25" t="s">
        <v>19</v>
      </c>
      <c r="B12" s="25"/>
      <c r="D12" s="31"/>
      <c r="E12" s="32"/>
      <c r="H12" s="25" t="s">
        <v>19</v>
      </c>
      <c r="I12" s="25"/>
      <c r="K12" s="31"/>
      <c r="L12" s="32"/>
    </row>
    <row r="13" spans="1:14" ht="14.25">
      <c r="A13" s="59">
        <v>1</v>
      </c>
      <c r="B13" s="9">
        <f>IF(D13&gt;0,D13*100+2,0)</f>
        <v>802</v>
      </c>
      <c r="C13" s="2" t="str">
        <f>IF(B13&gt;0,LOOKUP(B13,Declarations!$D$2:$D$290,Declarations!$F$2:$F$290),"")</f>
        <v>Martin Chomanicz</v>
      </c>
      <c r="D13" s="23">
        <v>8</v>
      </c>
      <c r="E13" s="2" t="str">
        <f>IF(D13&gt;0,LOOKUP(D13,Constants!$L$2:$L$18,Constants!$M$2:$M$18),"")</f>
        <v>City of Stoke AC</v>
      </c>
      <c r="F13" s="30" t="s">
        <v>325</v>
      </c>
      <c r="G13" s="2" t="s">
        <v>314</v>
      </c>
      <c r="H13" s="59">
        <v>1</v>
      </c>
      <c r="I13" s="9">
        <f>IF(K13&gt;0,K13*100+2,0)</f>
        <v>7702</v>
      </c>
      <c r="J13" s="2" t="str">
        <f>IF(I13&gt;0,LOOKUP(I13,Declarations!$D$2:$D$290,Declarations!$F$2:$F$290),"")</f>
        <v>Daniel Cash</v>
      </c>
      <c r="K13" s="23">
        <v>77</v>
      </c>
      <c r="L13" s="2" t="str">
        <f>IF(K13&gt;0,LOOKUP(K13,Constants!$L$2:$L$18,Constants!$M$2:$M$18),"")</f>
        <v>Tamworth AC</v>
      </c>
      <c r="M13" s="30" t="s">
        <v>331</v>
      </c>
      <c r="N13" s="2" t="s">
        <v>315</v>
      </c>
    </row>
    <row r="14" spans="1:13" ht="14.25">
      <c r="A14" s="59">
        <v>2</v>
      </c>
      <c r="B14" s="9">
        <f aca="true" t="shared" si="2" ref="B14:B20">IF(D14&gt;0,D14*100+2,0)</f>
        <v>702</v>
      </c>
      <c r="C14" s="2" t="str">
        <f>IF(B14&gt;0,LOOKUP(B14,Declarations!$D$2:$D$290,Declarations!$F$2:$F$290),"")</f>
        <v>Richard Bown</v>
      </c>
      <c r="D14" s="23">
        <v>7</v>
      </c>
      <c r="E14" s="2" t="str">
        <f>IF(D14&gt;0,LOOKUP(D14,Constants!$L$2:$L$18,Constants!$M$2:$M$18),"")</f>
        <v>Tamworth AC</v>
      </c>
      <c r="F14" s="30" t="s">
        <v>326</v>
      </c>
      <c r="H14" s="59">
        <v>2</v>
      </c>
      <c r="I14" s="9">
        <f aca="true" t="shared" si="3" ref="I14:I20">IF(K14&gt;0,K14*100+2,0)</f>
        <v>3302</v>
      </c>
      <c r="J14" s="2" t="str">
        <f>IF(I14&gt;0,LOOKUP(I14,Declarations!$D$2:$D$290,Declarations!$F$2:$F$290),"")</f>
        <v>Tom Aldred</v>
      </c>
      <c r="K14" s="23">
        <v>33</v>
      </c>
      <c r="L14" s="2" t="str">
        <f>IF(K14&gt;0,LOOKUP(K14,Constants!$L$2:$L$18,Constants!$M$2:$M$18),"")</f>
        <v>Derby AC</v>
      </c>
      <c r="M14" s="30" t="s">
        <v>332</v>
      </c>
    </row>
    <row r="15" spans="1:13" ht="14.25">
      <c r="A15" s="59">
        <v>3</v>
      </c>
      <c r="B15" s="9">
        <f t="shared" si="2"/>
        <v>402</v>
      </c>
      <c r="C15" s="2" t="str">
        <f>IF(B15&gt;0,LOOKUP(B15,Declarations!$D$2:$D$290,Declarations!$F$2:$F$290),"")</f>
        <v>Wesley Weathers</v>
      </c>
      <c r="D15" s="23">
        <v>4</v>
      </c>
      <c r="E15" s="2" t="str">
        <f>IF(D15&gt;0,LOOKUP(D15,Constants!$L$2:$L$18,Constants!$M$2:$M$18),"")</f>
        <v>Leicester Coritanian AC</v>
      </c>
      <c r="F15" s="30" t="s">
        <v>327</v>
      </c>
      <c r="H15" s="59">
        <v>3</v>
      </c>
      <c r="I15" s="9">
        <f t="shared" si="3"/>
        <v>2202</v>
      </c>
      <c r="J15" s="2" t="str">
        <f>IF(I15&gt;0,LOOKUP(I15,Declarations!$D$2:$D$290,Declarations!$F$2:$F$290),"")</f>
        <v>Paul McGranchan</v>
      </c>
      <c r="K15" s="23">
        <v>22</v>
      </c>
      <c r="L15" s="2" t="str">
        <f>IF(K15&gt;0,LOOKUP(K15,Constants!$L$2:$L$18,Constants!$M$2:$M$18),"")</f>
        <v>Coventry Godiva Harriers &amp; Sphinx AC</v>
      </c>
      <c r="M15" s="30" t="s">
        <v>333</v>
      </c>
    </row>
    <row r="16" spans="1:13" ht="14.25">
      <c r="A16" s="59">
        <v>4</v>
      </c>
      <c r="B16" s="9">
        <f t="shared" si="2"/>
        <v>202</v>
      </c>
      <c r="C16" s="2" t="str">
        <f>IF(B16&gt;0,LOOKUP(B16,Declarations!$D$2:$D$290,Declarations!$F$2:$F$290),"")</f>
        <v>Oliver Lines</v>
      </c>
      <c r="D16" s="23">
        <v>2</v>
      </c>
      <c r="E16" s="2" t="str">
        <f>IF(D16&gt;0,LOOKUP(D16,Constants!$L$2:$L$18,Constants!$M$2:$M$18),"")</f>
        <v>Coventry Godiva Harriers &amp; Sphinx AC</v>
      </c>
      <c r="F16" s="30" t="s">
        <v>328</v>
      </c>
      <c r="H16" s="59">
        <v>4</v>
      </c>
      <c r="I16" s="9">
        <f t="shared" si="3"/>
        <v>6602</v>
      </c>
      <c r="J16" s="2" t="str">
        <f>IF(I16&gt;0,LOOKUP(I16,Declarations!$D$2:$D$290,Declarations!$F$2:$F$290),"")</f>
        <v>Seb Steel</v>
      </c>
      <c r="K16" s="23">
        <v>66</v>
      </c>
      <c r="L16" s="2" t="str">
        <f>IF(K16&gt;0,LOOKUP(K16,Constants!$L$2:$L$18,Constants!$M$2:$M$18),"")</f>
        <v>Rugby &amp; Northampton AC</v>
      </c>
      <c r="M16" s="30" t="s">
        <v>334</v>
      </c>
    </row>
    <row r="17" spans="1:13" ht="14.25">
      <c r="A17" s="59">
        <v>5</v>
      </c>
      <c r="B17" s="9">
        <f t="shared" si="2"/>
        <v>602</v>
      </c>
      <c r="C17" s="2" t="str">
        <f>IF(B17&gt;0,LOOKUP(B17,Declarations!$D$2:$D$290,Declarations!$F$2:$F$290),"")</f>
        <v>Tom Stenton</v>
      </c>
      <c r="D17" s="23">
        <v>6</v>
      </c>
      <c r="E17" s="2" t="str">
        <f>IF(D17&gt;0,LOOKUP(D17,Constants!$L$2:$L$18,Constants!$M$2:$M$18),"")</f>
        <v>Rugby &amp; Northampton AC</v>
      </c>
      <c r="F17" s="30" t="s">
        <v>329</v>
      </c>
      <c r="H17" s="59">
        <v>5</v>
      </c>
      <c r="I17" s="9">
        <f t="shared" si="3"/>
        <v>0</v>
      </c>
      <c r="J17" s="2">
        <f>IF(I17&gt;0,LOOKUP(I17,Declarations!$D$2:$D$290,Declarations!$F$2:$F$290),"")</f>
      </c>
      <c r="K17" s="23"/>
      <c r="L17" s="2">
        <f>IF(K17&gt;0,LOOKUP(K17,Constants!$L$2:$L$18,Constants!$M$2:$M$18),"")</f>
      </c>
      <c r="M17" s="30"/>
    </row>
    <row r="18" spans="1:13" ht="14.25">
      <c r="A18" s="59">
        <v>6</v>
      </c>
      <c r="B18" s="9">
        <f t="shared" si="2"/>
        <v>302</v>
      </c>
      <c r="C18" s="2" t="str">
        <f>IF(B18&gt;0,LOOKUP(B18,Declarations!$D$2:$D$290,Declarations!$F$2:$F$290),"")</f>
        <v>Sam Worrall</v>
      </c>
      <c r="D18" s="23">
        <v>3</v>
      </c>
      <c r="E18" s="2" t="str">
        <f>IF(D18&gt;0,LOOKUP(D18,Constants!$L$2:$L$18,Constants!$M$2:$M$18),"")</f>
        <v>Derby AC</v>
      </c>
      <c r="F18" s="30" t="s">
        <v>330</v>
      </c>
      <c r="H18" s="59">
        <v>6</v>
      </c>
      <c r="I18" s="9">
        <f t="shared" si="3"/>
        <v>0</v>
      </c>
      <c r="J18" s="2">
        <f>IF(I18&gt;0,LOOKUP(I18,Declarations!$D$2:$D$290,Declarations!$F$2:$F$290),"")</f>
      </c>
      <c r="K18" s="23"/>
      <c r="L18" s="2">
        <f>IF(K18&gt;0,LOOKUP(K18,Constants!$L$2:$L$18,Constants!$M$2:$M$18),"")</f>
      </c>
      <c r="M18" s="30"/>
    </row>
    <row r="19" spans="1:13" ht="14.25">
      <c r="A19" s="59">
        <v>7</v>
      </c>
      <c r="B19" s="9">
        <f t="shared" si="2"/>
        <v>0</v>
      </c>
      <c r="C19" s="2">
        <f>IF(B19&gt;0,LOOKUP(B19,Declarations!$D$2:$D$290,Declarations!$F$2:$F$290),"")</f>
      </c>
      <c r="D19" s="23"/>
      <c r="E19" s="2">
        <f>IF(D19&gt;0,LOOKUP(D19,Constants!$L$2:$L$18,Constants!$M$2:$M$18),"")</f>
      </c>
      <c r="F19" s="30"/>
      <c r="H19" s="59">
        <v>7</v>
      </c>
      <c r="I19" s="9">
        <f t="shared" si="3"/>
        <v>0</v>
      </c>
      <c r="J19" s="2">
        <f>IF(I19&gt;0,LOOKUP(I19,Declarations!$D$2:$D$290,Declarations!$F$2:$F$290),"")</f>
      </c>
      <c r="K19" s="23"/>
      <c r="L19" s="2">
        <f>IF(K19&gt;0,LOOKUP(K19,Constants!$L$2:$L$18,Constants!$M$2:$M$18),"")</f>
      </c>
      <c r="M19" s="30"/>
    </row>
    <row r="20" spans="1:13" ht="14.25">
      <c r="A20" s="59">
        <v>8</v>
      </c>
      <c r="B20" s="9">
        <f t="shared" si="2"/>
        <v>0</v>
      </c>
      <c r="C20" s="2">
        <f>IF(B20&gt;0,LOOKUP(B20,Declarations!$D$2:$D$290,Declarations!$F$2:$F$290),"")</f>
      </c>
      <c r="D20" s="23"/>
      <c r="E20" s="2">
        <f>IF(D20&gt;0,LOOKUP(D20,Constants!$L$2:$L$18,Constants!$M$2:$M$18),"")</f>
      </c>
      <c r="F20" s="30"/>
      <c r="H20" s="59">
        <v>8</v>
      </c>
      <c r="I20" s="9">
        <f t="shared" si="3"/>
        <v>0</v>
      </c>
      <c r="J20" s="2">
        <f>IF(I20&gt;0,LOOKUP(I20,Declarations!$D$2:$D$290,Declarations!$F$2:$F$290),"")</f>
      </c>
      <c r="K20" s="23"/>
      <c r="L20" s="2">
        <f>IF(K20&gt;0,LOOKUP(K20,Constants!$L$2:$L$18,Constants!$M$2:$M$18),"")</f>
      </c>
      <c r="M20" s="30"/>
    </row>
    <row r="22" spans="1:9" ht="14.25">
      <c r="A22" s="25" t="s">
        <v>20</v>
      </c>
      <c r="B22" s="25"/>
      <c r="H22" s="25" t="s">
        <v>20</v>
      </c>
      <c r="I22" s="25"/>
    </row>
    <row r="23" spans="1:14" ht="14.25">
      <c r="A23" s="59">
        <v>1</v>
      </c>
      <c r="B23" s="9">
        <f>IF(D23&gt;0,D23*100+4,0)</f>
        <v>204</v>
      </c>
      <c r="C23" s="2" t="str">
        <f>IF(B23&gt;0,LOOKUP(B23,Declarations!$D$2:$D$290,Declarations!$F$2:$F$290),"")</f>
        <v>Oliver Lines</v>
      </c>
      <c r="D23" s="23">
        <v>2</v>
      </c>
      <c r="E23" s="2" t="str">
        <f>IF(D23&gt;0,LOOKUP(D23,Constants!$L$2:$L$18,Constants!$M$2:$M$18),"")</f>
        <v>Coventry Godiva Harriers &amp; Sphinx AC</v>
      </c>
      <c r="F23" s="30" t="s">
        <v>299</v>
      </c>
      <c r="G23" s="2" t="s">
        <v>315</v>
      </c>
      <c r="H23" s="59">
        <v>1</v>
      </c>
      <c r="I23" s="9">
        <f>IF(K23&gt;0,K23*100+4,0)</f>
        <v>7704</v>
      </c>
      <c r="J23" s="2" t="str">
        <f>IF(I23&gt;0,LOOKUP(I23,Declarations!$D$2:$D$290,Declarations!$F$2:$F$290),"")</f>
        <v>John Jenkins</v>
      </c>
      <c r="K23" s="23">
        <v>77</v>
      </c>
      <c r="L23" s="2" t="str">
        <f>IF(K23&gt;0,LOOKUP(K23,Constants!$L$2:$L$18,Constants!$M$2:$M$18),"")</f>
        <v>Tamworth AC</v>
      </c>
      <c r="M23" s="30" t="s">
        <v>304</v>
      </c>
      <c r="N23" s="2" t="s">
        <v>315</v>
      </c>
    </row>
    <row r="24" spans="1:13" ht="14.25">
      <c r="A24" s="59">
        <v>2</v>
      </c>
      <c r="B24" s="9">
        <f aca="true" t="shared" si="4" ref="B24:B30">IF(D24&gt;0,D24*100+4,0)</f>
        <v>704</v>
      </c>
      <c r="C24" s="2" t="str">
        <f>IF(B24&gt;0,LOOKUP(B24,Declarations!$D$2:$D$290,Declarations!$F$2:$F$290),"")</f>
        <v>Neil Rudd</v>
      </c>
      <c r="D24" s="23">
        <v>7</v>
      </c>
      <c r="E24" s="2" t="str">
        <f>IF(D24&gt;0,LOOKUP(D24,Constants!$L$2:$L$18,Constants!$M$2:$M$18),"")</f>
        <v>Tamworth AC</v>
      </c>
      <c r="F24" s="30" t="s">
        <v>300</v>
      </c>
      <c r="G24" s="2" t="s">
        <v>315</v>
      </c>
      <c r="H24" s="59">
        <v>2</v>
      </c>
      <c r="I24" s="9">
        <f aca="true" t="shared" si="5" ref="I24:I30">IF(K24&gt;0,K24*100+4,0)</f>
        <v>6604</v>
      </c>
      <c r="J24" s="2" t="str">
        <f>IF(I24&gt;0,LOOKUP(I24,Declarations!$D$2:$D$290,Declarations!$F$2:$F$290),"")</f>
        <v>Michael Labrum</v>
      </c>
      <c r="K24" s="23">
        <v>66</v>
      </c>
      <c r="L24" s="2" t="str">
        <f>IF(K24&gt;0,LOOKUP(K24,Constants!$L$2:$L$18,Constants!$M$2:$M$18),"")</f>
        <v>Rugby &amp; Northampton AC</v>
      </c>
      <c r="M24" s="30" t="s">
        <v>305</v>
      </c>
    </row>
    <row r="25" spans="1:13" ht="14.25">
      <c r="A25" s="59">
        <v>3</v>
      </c>
      <c r="B25" s="9">
        <f t="shared" si="4"/>
        <v>604</v>
      </c>
      <c r="C25" s="2" t="str">
        <f>IF(B25&gt;0,LOOKUP(B25,Declarations!$D$2:$D$290,Declarations!$F$2:$F$290),"")</f>
        <v>Jamie Dains</v>
      </c>
      <c r="D25" s="23">
        <v>6</v>
      </c>
      <c r="E25" s="2" t="str">
        <f>IF(D25&gt;0,LOOKUP(D25,Constants!$L$2:$L$18,Constants!$M$2:$M$18),"")</f>
        <v>Rugby &amp; Northampton AC</v>
      </c>
      <c r="F25" s="30" t="s">
        <v>301</v>
      </c>
      <c r="H25" s="59">
        <v>3</v>
      </c>
      <c r="I25" s="9">
        <f t="shared" si="5"/>
        <v>2204</v>
      </c>
      <c r="J25" s="2" t="str">
        <f>IF(I25&gt;0,LOOKUP(I25,Declarations!$D$2:$D$290,Declarations!$F$2:$F$290),"")</f>
        <v>Rob Bates</v>
      </c>
      <c r="K25" s="23">
        <v>22</v>
      </c>
      <c r="L25" s="2" t="str">
        <f>IF(K25&gt;0,LOOKUP(K25,Constants!$L$2:$L$18,Constants!$M$2:$M$18),"")</f>
        <v>Coventry Godiva Harriers &amp; Sphinx AC</v>
      </c>
      <c r="M25" s="30" t="s">
        <v>306</v>
      </c>
    </row>
    <row r="26" spans="1:13" ht="14.25">
      <c r="A26" s="59">
        <v>4</v>
      </c>
      <c r="B26" s="9">
        <f t="shared" si="4"/>
        <v>804</v>
      </c>
      <c r="C26" s="2" t="str">
        <f>IF(B26&gt;0,LOOKUP(B26,Declarations!$D$2:$D$290,Declarations!$F$2:$F$290),"")</f>
        <v>Matt McCarthy</v>
      </c>
      <c r="D26" s="23">
        <v>8</v>
      </c>
      <c r="E26" s="2" t="str">
        <f>IF(D26&gt;0,LOOKUP(D26,Constants!$L$2:$L$18,Constants!$M$2:$M$18),"")</f>
        <v>City of Stoke AC</v>
      </c>
      <c r="F26" s="30" t="s">
        <v>302</v>
      </c>
      <c r="H26" s="59">
        <v>4</v>
      </c>
      <c r="I26" s="9">
        <f t="shared" si="5"/>
        <v>8804</v>
      </c>
      <c r="J26" s="2" t="str">
        <f>IF(I26&gt;0,LOOKUP(I26,Declarations!$D$2:$D$290,Declarations!$F$2:$F$290),"")</f>
        <v>Leon Ashman</v>
      </c>
      <c r="K26" s="23">
        <v>88</v>
      </c>
      <c r="L26" s="2" t="str">
        <f>IF(K26&gt;0,LOOKUP(K26,Constants!$L$2:$L$18,Constants!$M$2:$M$18),"")</f>
        <v>City of Stoke AC</v>
      </c>
      <c r="M26" s="30" t="s">
        <v>307</v>
      </c>
    </row>
    <row r="27" spans="1:13" ht="14.25">
      <c r="A27" s="59">
        <v>5</v>
      </c>
      <c r="B27" s="9">
        <f t="shared" si="4"/>
        <v>304</v>
      </c>
      <c r="C27" s="2" t="str">
        <f>IF(B27&gt;0,LOOKUP(B27,Declarations!$D$2:$D$290,Declarations!$F$2:$F$290),"")</f>
        <v>Tom Aldred</v>
      </c>
      <c r="D27" s="23">
        <v>3</v>
      </c>
      <c r="E27" s="2" t="str">
        <f>IF(D27&gt;0,LOOKUP(D27,Constants!$L$2:$L$18,Constants!$M$2:$M$18),"")</f>
        <v>Derby AC</v>
      </c>
      <c r="F27" s="30" t="s">
        <v>303</v>
      </c>
      <c r="H27" s="59">
        <v>5</v>
      </c>
      <c r="I27" s="9">
        <f t="shared" si="5"/>
        <v>3304</v>
      </c>
      <c r="J27" s="2" t="str">
        <f>IF(I27&gt;0,LOOKUP(I27,Declarations!$D$2:$D$290,Declarations!$F$2:$F$290),"")</f>
        <v>Matt Chetwyn</v>
      </c>
      <c r="K27" s="23">
        <v>33</v>
      </c>
      <c r="L27" s="2" t="str">
        <f>IF(K27&gt;0,LOOKUP(K27,Constants!$L$2:$L$18,Constants!$M$2:$M$18),"")</f>
        <v>Derby AC</v>
      </c>
      <c r="M27" s="30" t="s">
        <v>308</v>
      </c>
    </row>
    <row r="28" spans="1:13" ht="14.25">
      <c r="A28" s="59">
        <v>6</v>
      </c>
      <c r="B28" s="9">
        <f t="shared" si="4"/>
        <v>0</v>
      </c>
      <c r="C28" s="2">
        <f>IF(B28&gt;0,LOOKUP(B28,Declarations!$D$2:$D$290,Declarations!$F$2:$F$290),"")</f>
      </c>
      <c r="D28" s="23"/>
      <c r="E28" s="2">
        <f>IF(D28&gt;0,LOOKUP(D28,Constants!$L$2:$L$18,Constants!$M$2:$M$18),"")</f>
      </c>
      <c r="F28" s="30"/>
      <c r="H28" s="59">
        <v>6</v>
      </c>
      <c r="I28" s="9">
        <f t="shared" si="5"/>
        <v>0</v>
      </c>
      <c r="J28" s="2">
        <f>IF(I28&gt;0,LOOKUP(I28,Declarations!$D$2:$D$290,Declarations!$F$2:$F$290),"")</f>
      </c>
      <c r="K28" s="23"/>
      <c r="L28" s="2">
        <f>IF(K28&gt;0,LOOKUP(K28,Constants!$L$2:$L$18,Constants!$M$2:$M$18),"")</f>
      </c>
      <c r="M28" s="30"/>
    </row>
    <row r="29" spans="1:13" ht="14.25">
      <c r="A29" s="59">
        <v>7</v>
      </c>
      <c r="B29" s="9">
        <f t="shared" si="4"/>
        <v>0</v>
      </c>
      <c r="C29" s="2">
        <f>IF(B29&gt;0,LOOKUP(B29,Declarations!$D$2:$D$290,Declarations!$F$2:$F$290),"")</f>
      </c>
      <c r="D29" s="23"/>
      <c r="E29" s="2">
        <f>IF(D29&gt;0,LOOKUP(D29,Constants!$L$2:$L$18,Constants!$M$2:$M$18),"")</f>
      </c>
      <c r="F29" s="30"/>
      <c r="H29" s="59">
        <v>7</v>
      </c>
      <c r="I29" s="9">
        <f t="shared" si="5"/>
        <v>0</v>
      </c>
      <c r="J29" s="2">
        <f>IF(I29&gt;0,LOOKUP(I29,Declarations!$D$2:$D$290,Declarations!$F$2:$F$290),"")</f>
      </c>
      <c r="K29" s="23"/>
      <c r="L29" s="2">
        <f>IF(K29&gt;0,LOOKUP(K29,Constants!$L$2:$L$18,Constants!$M$2:$M$18),"")</f>
      </c>
      <c r="M29" s="30"/>
    </row>
    <row r="30" spans="1:13" ht="14.25">
      <c r="A30" s="59">
        <v>8</v>
      </c>
      <c r="B30" s="9">
        <f t="shared" si="4"/>
        <v>0</v>
      </c>
      <c r="C30" s="2">
        <f>IF(B30&gt;0,LOOKUP(B30,Declarations!$D$2:$D$290,Declarations!$F$2:$F$290),"")</f>
      </c>
      <c r="D30" s="23"/>
      <c r="E30" s="2">
        <f>IF(D30&gt;0,LOOKUP(D30,Constants!$L$2:$L$18,Constants!$M$2:$M$18),"")</f>
      </c>
      <c r="F30" s="30"/>
      <c r="H30" s="59">
        <v>8</v>
      </c>
      <c r="I30" s="9">
        <f t="shared" si="5"/>
        <v>0</v>
      </c>
      <c r="J30" s="2">
        <f>IF(I30&gt;0,LOOKUP(I30,Declarations!$D$2:$D$290,Declarations!$F$2:$F$290),"")</f>
      </c>
      <c r="K30" s="23"/>
      <c r="L30" s="2">
        <f>IF(K30&gt;0,LOOKUP(K30,Constants!$L$2:$L$18,Constants!$M$2:$M$18),"")</f>
      </c>
      <c r="M30" s="30"/>
    </row>
    <row r="32" spans="1:9" ht="14.25">
      <c r="A32" s="25" t="s">
        <v>21</v>
      </c>
      <c r="B32" s="25"/>
      <c r="H32" s="25" t="s">
        <v>21</v>
      </c>
      <c r="I32" s="25"/>
    </row>
    <row r="33" spans="1:14" ht="14.25">
      <c r="A33" s="59">
        <v>1</v>
      </c>
      <c r="B33" s="9">
        <f>IF(D33&gt;0,D33*100+8,0)</f>
        <v>108</v>
      </c>
      <c r="C33" s="2" t="str">
        <f>IF(B33&gt;0,LOOKUP(B33,Declarations!$D$2:$D$290,Declarations!$F$2:$F$290),"")</f>
        <v>James Houghton</v>
      </c>
      <c r="D33" s="23">
        <v>1</v>
      </c>
      <c r="E33" s="2" t="str">
        <f>IF(D33&gt;0,LOOKUP(D33,Constants!$L$2:$L$18,Constants!$M$2:$M$18),"")</f>
        <v>Cannock &amp; Staffs AC</v>
      </c>
      <c r="F33" s="30" t="s">
        <v>246</v>
      </c>
      <c r="G33" s="2" t="s">
        <v>315</v>
      </c>
      <c r="H33" s="59">
        <v>1</v>
      </c>
      <c r="I33" s="9">
        <f>IF(K33&gt;0,K33*100+8,0)</f>
        <v>2208</v>
      </c>
      <c r="J33" s="2" t="str">
        <f>IF(I33&gt;0,LOOKUP(I33,Declarations!$D$2:$D$290,Declarations!$F$2:$F$290),"")</f>
        <v>Ben Jones</v>
      </c>
      <c r="K33" s="23">
        <v>22</v>
      </c>
      <c r="L33" s="2" t="str">
        <f>IF(K33&gt;0,LOOKUP(K33,Constants!$L$2:$L$18,Constants!$M$2:$M$18),"")</f>
        <v>Coventry Godiva Harriers &amp; Sphinx AC</v>
      </c>
      <c r="M33" s="30" t="s">
        <v>253</v>
      </c>
      <c r="N33" s="2" t="s">
        <v>315</v>
      </c>
    </row>
    <row r="34" spans="1:13" ht="14.25">
      <c r="A34" s="59">
        <v>2</v>
      </c>
      <c r="B34" s="9">
        <f aca="true" t="shared" si="6" ref="B34:B40">IF(D34&gt;0,D34*100+8,0)</f>
        <v>308</v>
      </c>
      <c r="C34" s="2" t="str">
        <f>IF(B34&gt;0,LOOKUP(B34,Declarations!$D$2:$D$290,Declarations!$F$2:$F$290),"")</f>
        <v>Jordan Wildrianne</v>
      </c>
      <c r="D34" s="23">
        <v>3</v>
      </c>
      <c r="E34" s="2" t="str">
        <f>IF(D34&gt;0,LOOKUP(D34,Constants!$L$2:$L$18,Constants!$M$2:$M$18),"")</f>
        <v>Derby AC</v>
      </c>
      <c r="F34" s="30" t="s">
        <v>247</v>
      </c>
      <c r="H34" s="59">
        <v>2</v>
      </c>
      <c r="I34" s="9">
        <f aca="true" t="shared" si="7" ref="I34:I40">IF(K34&gt;0,K34*100+8,0)</f>
        <v>1108</v>
      </c>
      <c r="J34" s="2" t="str">
        <f>IF(I34&gt;0,LOOKUP(I34,Declarations!$D$2:$D$290,Declarations!$F$2:$F$290),"")</f>
        <v>Chris Harvey</v>
      </c>
      <c r="K34" s="23">
        <v>11</v>
      </c>
      <c r="L34" s="2" t="str">
        <f>IF(K34&gt;0,LOOKUP(K34,Constants!$L$2:$L$18,Constants!$M$2:$M$18),"")</f>
        <v>Cannock &amp; Staffs AC</v>
      </c>
      <c r="M34" s="30" t="s">
        <v>254</v>
      </c>
    </row>
    <row r="35" spans="1:13" ht="14.25">
      <c r="A35" s="59">
        <v>3</v>
      </c>
      <c r="B35" s="9">
        <f t="shared" si="6"/>
        <v>808</v>
      </c>
      <c r="C35" s="2" t="str">
        <f>IF(B35&gt;0,LOOKUP(B35,Declarations!$D$2:$D$290,Declarations!$F$2:$F$290),"")</f>
        <v>Carl Shubotham</v>
      </c>
      <c r="D35" s="23">
        <v>8</v>
      </c>
      <c r="E35" s="2" t="str">
        <f>IF(D35&gt;0,LOOKUP(D35,Constants!$L$2:$L$18,Constants!$M$2:$M$18),"")</f>
        <v>City of Stoke AC</v>
      </c>
      <c r="F35" s="30" t="s">
        <v>248</v>
      </c>
      <c r="H35" s="59">
        <v>3</v>
      </c>
      <c r="I35" s="9">
        <f t="shared" si="7"/>
        <v>3308</v>
      </c>
      <c r="J35" s="2" t="str">
        <f>IF(I35&gt;0,LOOKUP(I35,Declarations!$D$2:$D$290,Declarations!$F$2:$F$290),"")</f>
        <v>Frankie Insley</v>
      </c>
      <c r="K35" s="23">
        <v>33</v>
      </c>
      <c r="L35" s="2" t="str">
        <f>IF(K35&gt;0,LOOKUP(K35,Constants!$L$2:$L$18,Constants!$M$2:$M$18),"")</f>
        <v>Derby AC</v>
      </c>
      <c r="M35" s="30" t="s">
        <v>255</v>
      </c>
    </row>
    <row r="36" spans="1:13" ht="14.25">
      <c r="A36" s="59">
        <v>4</v>
      </c>
      <c r="B36" s="9">
        <f t="shared" si="6"/>
        <v>608</v>
      </c>
      <c r="C36" s="2" t="str">
        <f>IF(B36&gt;0,LOOKUP(B36,Declarations!$D$2:$D$290,Declarations!$F$2:$F$290),"")</f>
        <v>Ciaran Acford</v>
      </c>
      <c r="D36" s="23">
        <v>6</v>
      </c>
      <c r="E36" s="2" t="str">
        <f>IF(D36&gt;0,LOOKUP(D36,Constants!$L$2:$L$18,Constants!$M$2:$M$18),"")</f>
        <v>Rugby &amp; Northampton AC</v>
      </c>
      <c r="F36" s="30" t="s">
        <v>249</v>
      </c>
      <c r="H36" s="59">
        <v>4</v>
      </c>
      <c r="I36" s="9">
        <f t="shared" si="7"/>
        <v>7708</v>
      </c>
      <c r="J36" s="2" t="str">
        <f>IF(I36&gt;0,LOOKUP(I36,Declarations!$D$2:$D$290,Declarations!$F$2:$F$290),"")</f>
        <v>Simon King</v>
      </c>
      <c r="K36" s="23">
        <v>77</v>
      </c>
      <c r="L36" s="2" t="str">
        <f>IF(K36&gt;0,LOOKUP(K36,Constants!$L$2:$L$18,Constants!$M$2:$M$18),"")</f>
        <v>Tamworth AC</v>
      </c>
      <c r="M36" s="30" t="s">
        <v>251</v>
      </c>
    </row>
    <row r="37" spans="1:13" ht="14.25">
      <c r="A37" s="59">
        <v>5</v>
      </c>
      <c r="B37" s="9">
        <f t="shared" si="6"/>
        <v>208</v>
      </c>
      <c r="C37" s="2" t="str">
        <f>IF(B37&gt;0,LOOKUP(B37,Declarations!$D$2:$D$290,Declarations!$F$2:$F$290),"")</f>
        <v>Rob Bates</v>
      </c>
      <c r="D37" s="23">
        <v>2</v>
      </c>
      <c r="E37" s="2" t="str">
        <f>IF(D37&gt;0,LOOKUP(D37,Constants!$L$2:$L$18,Constants!$M$2:$M$18),"")</f>
        <v>Coventry Godiva Harriers &amp; Sphinx AC</v>
      </c>
      <c r="F37" s="30" t="s">
        <v>250</v>
      </c>
      <c r="H37" s="59">
        <v>5</v>
      </c>
      <c r="I37" s="9">
        <f t="shared" si="7"/>
        <v>0</v>
      </c>
      <c r="J37" s="2">
        <f>IF(I37&gt;0,LOOKUP(I37,Declarations!$D$2:$D$290,Declarations!$F$2:$F$290),"")</f>
      </c>
      <c r="K37" s="23"/>
      <c r="L37" s="2">
        <f>IF(K37&gt;0,LOOKUP(K37,Constants!$L$2:$L$18,Constants!$M$2:$M$18),"")</f>
      </c>
      <c r="M37" s="30"/>
    </row>
    <row r="38" spans="1:13" ht="14.25">
      <c r="A38" s="59">
        <v>6</v>
      </c>
      <c r="B38" s="9">
        <f t="shared" si="6"/>
        <v>708</v>
      </c>
      <c r="C38" s="2" t="str">
        <f>IF(B38&gt;0,LOOKUP(B38,Declarations!$D$2:$D$290,Declarations!$F$2:$F$290),"")</f>
        <v>John Jenkins</v>
      </c>
      <c r="D38" s="23">
        <v>7</v>
      </c>
      <c r="E38" s="2" t="str">
        <f>IF(D38&gt;0,LOOKUP(D38,Constants!$L$2:$L$18,Constants!$M$2:$M$18),"")</f>
        <v>Tamworth AC</v>
      </c>
      <c r="F38" s="30" t="s">
        <v>251</v>
      </c>
      <c r="H38" s="59">
        <v>6</v>
      </c>
      <c r="I38" s="9">
        <f t="shared" si="7"/>
        <v>0</v>
      </c>
      <c r="J38" s="2">
        <f>IF(I38&gt;0,LOOKUP(I38,Declarations!$D$2:$D$290,Declarations!$F$2:$F$290),"")</f>
      </c>
      <c r="K38" s="23"/>
      <c r="L38" s="2">
        <f>IF(K38&gt;0,LOOKUP(K38,Constants!$L$2:$L$18,Constants!$M$2:$M$18),"")</f>
      </c>
      <c r="M38" s="30"/>
    </row>
    <row r="39" spans="1:13" ht="14.25">
      <c r="A39" s="59">
        <v>7</v>
      </c>
      <c r="B39" s="9">
        <f t="shared" si="6"/>
        <v>508</v>
      </c>
      <c r="C39" s="2" t="str">
        <f>IF(B39&gt;0,LOOKUP(B39,Declarations!$D$2:$D$290,Declarations!$F$2:$F$290),"")</f>
        <v>Andy Colman</v>
      </c>
      <c r="D39" s="23">
        <v>5</v>
      </c>
      <c r="E39" s="2" t="str">
        <f>IF(D39&gt;0,LOOKUP(D39,Constants!$L$2:$L$18,Constants!$M$2:$M$18),"")</f>
        <v>Nuneaton Harriers</v>
      </c>
      <c r="F39" s="30" t="s">
        <v>252</v>
      </c>
      <c r="H39" s="59">
        <v>7</v>
      </c>
      <c r="I39" s="9">
        <f t="shared" si="7"/>
        <v>0</v>
      </c>
      <c r="J39" s="2">
        <f>IF(I39&gt;0,LOOKUP(I39,Declarations!$D$2:$D$290,Declarations!$F$2:$F$290),"")</f>
      </c>
      <c r="K39" s="23"/>
      <c r="L39" s="2">
        <f>IF(K39&gt;0,LOOKUP(K39,Constants!$L$2:$L$18,Constants!$M$2:$M$18),"")</f>
      </c>
      <c r="M39" s="30"/>
    </row>
    <row r="40" spans="1:13" ht="14.25">
      <c r="A40" s="59">
        <v>8</v>
      </c>
      <c r="B40" s="9">
        <f t="shared" si="6"/>
        <v>0</v>
      </c>
      <c r="C40" s="2">
        <f>IF(B40&gt;0,LOOKUP(B40,Declarations!$D$2:$D$290,Declarations!$F$2:$F$290),"")</f>
      </c>
      <c r="D40" s="23"/>
      <c r="E40" s="2">
        <f>IF(D40&gt;0,LOOKUP(D40,Constants!$L$2:$L$18,Constants!$M$2:$M$18),"")</f>
      </c>
      <c r="F40" s="30"/>
      <c r="H40" s="59">
        <v>8</v>
      </c>
      <c r="I40" s="9">
        <f t="shared" si="7"/>
        <v>0</v>
      </c>
      <c r="J40" s="2">
        <f>IF(I40&gt;0,LOOKUP(I40,Declarations!$D$2:$D$290,Declarations!$F$2:$F$290),"")</f>
      </c>
      <c r="K40" s="23"/>
      <c r="L40" s="2">
        <f>IF(K40&gt;0,LOOKUP(K40,Constants!$L$2:$L$18,Constants!$M$2:$M$18),"")</f>
      </c>
      <c r="M40" s="30"/>
    </row>
    <row r="42" spans="1:9" ht="14.25">
      <c r="A42" s="25" t="s">
        <v>22</v>
      </c>
      <c r="B42" s="25"/>
      <c r="H42" s="25" t="s">
        <v>22</v>
      </c>
      <c r="I42" s="25"/>
    </row>
    <row r="43" spans="1:13" ht="14.25">
      <c r="A43" s="59">
        <v>1</v>
      </c>
      <c r="B43" s="9">
        <f>IF(D43&gt;0,D43*100+15,0)</f>
        <v>215</v>
      </c>
      <c r="C43" s="2" t="str">
        <f>IF(B43&gt;0,LOOKUP(B43,Declarations!$D$2:$D$290,Declarations!$F$2:$F$290),"")</f>
        <v>Alistair Smith</v>
      </c>
      <c r="D43" s="23">
        <v>2</v>
      </c>
      <c r="E43" s="2" t="str">
        <f>IF(D43&gt;0,LOOKUP(D43,Constants!$L$2:$L$18,Constants!$M$2:$M$18),"")</f>
        <v>Coventry Godiva Harriers &amp; Sphinx AC</v>
      </c>
      <c r="F43" s="30" t="s">
        <v>335</v>
      </c>
      <c r="H43" s="59">
        <v>1</v>
      </c>
      <c r="I43" s="9">
        <f>IF(K43&gt;0,K43*100+15,0)</f>
        <v>1115</v>
      </c>
      <c r="J43" s="2" t="str">
        <f>IF(I43&gt;0,LOOKUP(I43,Declarations!$D$2:$D$290,Declarations!$F$2:$F$290),"")</f>
        <v>James Houghton</v>
      </c>
      <c r="K43" s="23">
        <v>11</v>
      </c>
      <c r="L43" s="2" t="str">
        <f>IF(K43&gt;0,LOOKUP(K43,Constants!$L$2:$L$18,Constants!$M$2:$M$18),"")</f>
        <v>Cannock &amp; Staffs AC</v>
      </c>
      <c r="M43" s="30" t="s">
        <v>342</v>
      </c>
    </row>
    <row r="44" spans="1:13" ht="14.25">
      <c r="A44" s="59">
        <v>2</v>
      </c>
      <c r="B44" s="9">
        <f aca="true" t="shared" si="8" ref="B44:B50">IF(D44&gt;0,D44*100+15,0)</f>
        <v>115</v>
      </c>
      <c r="C44" s="2" t="str">
        <f>IF(B44&gt;0,LOOKUP(B44,Declarations!$D$2:$D$290,Declarations!$F$2:$F$290),"")</f>
        <v>Ben Taylor</v>
      </c>
      <c r="D44" s="23">
        <v>1</v>
      </c>
      <c r="E44" s="2" t="str">
        <f>IF(D44&gt;0,LOOKUP(D44,Constants!$L$2:$L$18,Constants!$M$2:$M$18),"")</f>
        <v>Cannock &amp; Staffs AC</v>
      </c>
      <c r="F44" s="30" t="s">
        <v>336</v>
      </c>
      <c r="H44" s="59">
        <v>2</v>
      </c>
      <c r="I44" s="9">
        <f aca="true" t="shared" si="9" ref="I44:I50">IF(K44&gt;0,K44*100+15,0)</f>
        <v>2215</v>
      </c>
      <c r="J44" s="2" t="str">
        <f>IF(I44&gt;0,LOOKUP(I44,Declarations!$D$2:$D$290,Declarations!$F$2:$F$290),"")</f>
        <v>Ben Jones</v>
      </c>
      <c r="K44" s="23">
        <v>22</v>
      </c>
      <c r="L44" s="2" t="str">
        <f>IF(K44&gt;0,LOOKUP(K44,Constants!$L$2:$L$18,Constants!$M$2:$M$18),"")</f>
        <v>Coventry Godiva Harriers &amp; Sphinx AC</v>
      </c>
      <c r="M44" s="30" t="s">
        <v>343</v>
      </c>
    </row>
    <row r="45" spans="1:13" ht="14.25">
      <c r="A45" s="59">
        <v>3</v>
      </c>
      <c r="B45" s="9">
        <f t="shared" si="8"/>
        <v>615</v>
      </c>
      <c r="C45" s="2" t="str">
        <f>IF(B45&gt;0,LOOKUP(B45,Declarations!$D$2:$D$290,Declarations!$F$2:$F$290),"")</f>
        <v>Liam Ratcliffe</v>
      </c>
      <c r="D45" s="23">
        <v>6</v>
      </c>
      <c r="E45" s="2" t="str">
        <f>IF(D45&gt;0,LOOKUP(D45,Constants!$L$2:$L$18,Constants!$M$2:$M$18),"")</f>
        <v>Rugby &amp; Northampton AC</v>
      </c>
      <c r="F45" s="30" t="s">
        <v>337</v>
      </c>
      <c r="H45" s="59">
        <v>3</v>
      </c>
      <c r="I45" s="9">
        <f t="shared" si="9"/>
        <v>6615</v>
      </c>
      <c r="J45" s="2" t="str">
        <f>IF(I45&gt;0,LOOKUP(I45,Declarations!$D$2:$D$290,Declarations!$F$2:$F$290),"")</f>
        <v>Liam Marriott</v>
      </c>
      <c r="K45" s="23">
        <v>66</v>
      </c>
      <c r="L45" s="2" t="str">
        <f>IF(K45&gt;0,LOOKUP(K45,Constants!$L$2:$L$18,Constants!$M$2:$M$18),"")</f>
        <v>Rugby &amp; Northampton AC</v>
      </c>
      <c r="M45" s="30" t="s">
        <v>344</v>
      </c>
    </row>
    <row r="46" spans="1:13" ht="14.25">
      <c r="A46" s="59">
        <v>4</v>
      </c>
      <c r="B46" s="9">
        <f t="shared" si="8"/>
        <v>815</v>
      </c>
      <c r="C46" s="2" t="str">
        <f>IF(B46&gt;0,LOOKUP(B46,Declarations!$D$2:$D$290,Declarations!$F$2:$F$290),"")</f>
        <v>Carl Shubotham</v>
      </c>
      <c r="D46" s="23">
        <v>8</v>
      </c>
      <c r="E46" s="2" t="str">
        <f>IF(D46&gt;0,LOOKUP(D46,Constants!$L$2:$L$18,Constants!$M$2:$M$18),"")</f>
        <v>City of Stoke AC</v>
      </c>
      <c r="F46" s="30" t="s">
        <v>338</v>
      </c>
      <c r="H46" s="59">
        <v>4</v>
      </c>
      <c r="I46" s="9">
        <f t="shared" si="9"/>
        <v>3315</v>
      </c>
      <c r="J46" s="2" t="str">
        <f>IF(I46&gt;0,LOOKUP(I46,Declarations!$D$2:$D$290,Declarations!$F$2:$F$290),"")</f>
        <v>Matt Payne</v>
      </c>
      <c r="K46" s="23">
        <v>33</v>
      </c>
      <c r="L46" s="2" t="str">
        <f>IF(K46&gt;0,LOOKUP(K46,Constants!$L$2:$L$18,Constants!$M$2:$M$18),"")</f>
        <v>Derby AC</v>
      </c>
      <c r="M46" s="30" t="s">
        <v>345</v>
      </c>
    </row>
    <row r="47" spans="1:13" ht="14.25">
      <c r="A47" s="59">
        <v>5</v>
      </c>
      <c r="B47" s="9">
        <f t="shared" si="8"/>
        <v>315</v>
      </c>
      <c r="C47" s="2" t="str">
        <f>IF(B47&gt;0,LOOKUP(B47,Declarations!$D$2:$D$290,Declarations!$F$2:$F$290),"")</f>
        <v>Sam Payne</v>
      </c>
      <c r="D47" s="23">
        <v>3</v>
      </c>
      <c r="E47" s="2" t="str">
        <f>IF(D47&gt;0,LOOKUP(D47,Constants!$L$2:$L$18,Constants!$M$2:$M$18),"")</f>
        <v>Derby AC</v>
      </c>
      <c r="F47" s="30" t="s">
        <v>339</v>
      </c>
      <c r="H47" s="59">
        <v>5</v>
      </c>
      <c r="I47" s="9">
        <f t="shared" si="9"/>
        <v>7715</v>
      </c>
      <c r="J47" s="2" t="str">
        <f>IF(I47&gt;0,LOOKUP(I47,Declarations!$D$2:$D$290,Declarations!$F$2:$F$290),"")</f>
        <v>Simon King</v>
      </c>
      <c r="K47" s="23">
        <v>77</v>
      </c>
      <c r="L47" s="2" t="str">
        <f>IF(K47&gt;0,LOOKUP(K47,Constants!$L$2:$L$18,Constants!$M$2:$M$18),"")</f>
        <v>Tamworth AC</v>
      </c>
      <c r="M47" s="30" t="s">
        <v>346</v>
      </c>
    </row>
    <row r="48" spans="1:13" ht="14.25">
      <c r="A48" s="59">
        <v>6</v>
      </c>
      <c r="B48" s="9">
        <f t="shared" si="8"/>
        <v>415</v>
      </c>
      <c r="C48" s="2" t="str">
        <f>IF(B48&gt;0,LOOKUP(B48,Declarations!$D$2:$D$290,Declarations!$F$2:$F$290),"")</f>
        <v>Joe Knowles</v>
      </c>
      <c r="D48" s="23">
        <v>4</v>
      </c>
      <c r="E48" s="2" t="str">
        <f>IF(D48&gt;0,LOOKUP(D48,Constants!$L$2:$L$18,Constants!$M$2:$M$18),"")</f>
        <v>Leicester Coritanian AC</v>
      </c>
      <c r="F48" s="30" t="s">
        <v>340</v>
      </c>
      <c r="H48" s="59">
        <v>6</v>
      </c>
      <c r="I48" s="9">
        <f t="shared" si="9"/>
        <v>0</v>
      </c>
      <c r="J48" s="2">
        <f>IF(I48&gt;0,LOOKUP(I48,Declarations!$D$2:$D$290,Declarations!$F$2:$F$290),"")</f>
      </c>
      <c r="K48" s="23"/>
      <c r="L48" s="2">
        <f>IF(K48&gt;0,LOOKUP(K48,Constants!$L$2:$L$18,Constants!$M$2:$M$18),"")</f>
      </c>
      <c r="M48" s="30"/>
    </row>
    <row r="49" spans="1:13" ht="14.25">
      <c r="A49" s="59">
        <v>7</v>
      </c>
      <c r="B49" s="9">
        <f t="shared" si="8"/>
        <v>715</v>
      </c>
      <c r="C49" s="2" t="str">
        <f>IF(B49&gt;0,LOOKUP(B49,Declarations!$D$2:$D$290,Declarations!$F$2:$F$290),"")</f>
        <v>Adam Bache</v>
      </c>
      <c r="D49" s="23">
        <v>7</v>
      </c>
      <c r="E49" s="2" t="str">
        <f>IF(D49&gt;0,LOOKUP(D49,Constants!$L$2:$L$18,Constants!$M$2:$M$18),"")</f>
        <v>Tamworth AC</v>
      </c>
      <c r="F49" s="30" t="s">
        <v>341</v>
      </c>
      <c r="H49" s="59">
        <v>7</v>
      </c>
      <c r="I49" s="9">
        <f t="shared" si="9"/>
        <v>0</v>
      </c>
      <c r="J49" s="2">
        <f>IF(I49&gt;0,LOOKUP(I49,Declarations!$D$2:$D$290,Declarations!$F$2:$F$290),"")</f>
      </c>
      <c r="K49" s="23"/>
      <c r="L49" s="2">
        <f>IF(K49&gt;0,LOOKUP(K49,Constants!$L$2:$L$18,Constants!$M$2:$M$18),"")</f>
      </c>
      <c r="M49" s="30"/>
    </row>
    <row r="50" spans="1:13" ht="14.25">
      <c r="A50" s="59">
        <v>8</v>
      </c>
      <c r="B50" s="9">
        <f t="shared" si="8"/>
        <v>0</v>
      </c>
      <c r="C50" s="2">
        <f>IF(B50&gt;0,LOOKUP(B50,Declarations!$D$2:$D$290,Declarations!$F$2:$F$290),"")</f>
      </c>
      <c r="D50" s="23"/>
      <c r="E50" s="2">
        <f>IF(D50&gt;0,LOOKUP(D50,Constants!$L$2:$L$18,Constants!$M$2:$M$18),"")</f>
      </c>
      <c r="F50" s="30"/>
      <c r="H50" s="59">
        <v>8</v>
      </c>
      <c r="I50" s="9">
        <f t="shared" si="9"/>
        <v>0</v>
      </c>
      <c r="J50" s="2">
        <f>IF(I50&gt;0,LOOKUP(I50,Declarations!$D$2:$D$290,Declarations!$F$2:$F$290),"")</f>
      </c>
      <c r="K50" s="23"/>
      <c r="L50" s="2">
        <f>IF(K50&gt;0,LOOKUP(K50,Constants!$L$2:$L$18,Constants!$M$2:$M$18),"")</f>
      </c>
      <c r="M50" s="30"/>
    </row>
    <row r="51" spans="1:13" ht="14.25">
      <c r="A51" s="59"/>
      <c r="D51" s="23"/>
      <c r="F51" s="30"/>
      <c r="H51" s="59"/>
      <c r="K51" s="23"/>
      <c r="M51" s="30"/>
    </row>
    <row r="52" spans="1:9" ht="14.25">
      <c r="A52" s="25" t="s">
        <v>129</v>
      </c>
      <c r="B52" s="25"/>
      <c r="H52" s="25" t="s">
        <v>129</v>
      </c>
      <c r="I52" s="25"/>
    </row>
    <row r="53" spans="1:13" ht="14.25">
      <c r="A53" s="59">
        <v>1</v>
      </c>
      <c r="B53" s="9">
        <f>IF(D53&gt;0,D53*100+16,0)</f>
        <v>816</v>
      </c>
      <c r="C53" s="2" t="str">
        <f>IF(B53&gt;0,LOOKUP(B53,Declarations!$D$2:$D$290,Declarations!$F$2:$F$290),"")</f>
        <v>Alex Derricott</v>
      </c>
      <c r="D53" s="23">
        <v>8</v>
      </c>
      <c r="E53" s="2" t="str">
        <f>IF(D53&gt;0,LOOKUP(D53,Constants!$L$2:$L$18,Constants!$M$2:$M$18),"")</f>
        <v>City of Stoke AC</v>
      </c>
      <c r="F53" s="30" t="s">
        <v>273</v>
      </c>
      <c r="H53" s="59">
        <v>1</v>
      </c>
      <c r="I53" s="9">
        <f>IF(K53&gt;0,K53*100+16,0)</f>
        <v>8816</v>
      </c>
      <c r="J53" s="2" t="str">
        <f>IF(I53&gt;0,LOOKUP(I53,Declarations!$D$2:$D$290,Declarations!$F$2:$F$290),"")</f>
        <v>Liam Jones-Mansueto</v>
      </c>
      <c r="K53" s="23">
        <v>88</v>
      </c>
      <c r="L53" s="2" t="str">
        <f>IF(K53&gt;0,LOOKUP(K53,Constants!$L$2:$L$18,Constants!$M$2:$M$18),"")</f>
        <v>City of Stoke AC</v>
      </c>
      <c r="M53" s="30" t="s">
        <v>279</v>
      </c>
    </row>
    <row r="54" spans="1:13" ht="14.25">
      <c r="A54" s="59">
        <v>2</v>
      </c>
      <c r="B54" s="9">
        <f aca="true" t="shared" si="10" ref="B54:B60">IF(D54&gt;0,D54*100+16,0)</f>
        <v>3316</v>
      </c>
      <c r="C54" s="2" t="str">
        <f>IF(B54&gt;0,LOOKUP(B54,Declarations!$D$2:$D$290,Declarations!$F$2:$F$290),"")</f>
        <v>Chris Davison</v>
      </c>
      <c r="D54" s="23">
        <v>33</v>
      </c>
      <c r="E54" s="2" t="str">
        <f>IF(D54&gt;0,LOOKUP(D54,Constants!$L$2:$L$18,Constants!$M$2:$M$18),"")</f>
        <v>Derby AC</v>
      </c>
      <c r="F54" s="30" t="s">
        <v>274</v>
      </c>
      <c r="H54" s="59">
        <v>2</v>
      </c>
      <c r="I54" s="9">
        <f aca="true" t="shared" si="11" ref="I54:I60">IF(K54&gt;0,K54*100+16,0)</f>
        <v>316</v>
      </c>
      <c r="J54" s="2" t="str">
        <f>IF(I54&gt;0,LOOKUP(I54,Declarations!$D$2:$D$290,Declarations!$F$2:$F$290),"")</f>
        <v>Tom Lawrence</v>
      </c>
      <c r="K54" s="23">
        <v>3</v>
      </c>
      <c r="L54" s="2" t="str">
        <f>IF(K54&gt;0,LOOKUP(K54,Constants!$L$2:$L$18,Constants!$M$2:$M$18),"")</f>
        <v>Derby AC</v>
      </c>
      <c r="M54" s="30" t="s">
        <v>280</v>
      </c>
    </row>
    <row r="55" spans="1:13" ht="14.25">
      <c r="A55" s="59">
        <v>3</v>
      </c>
      <c r="B55" s="9">
        <f t="shared" si="10"/>
        <v>216</v>
      </c>
      <c r="C55" s="2" t="str">
        <f>IF(B55&gt;0,LOOKUP(B55,Declarations!$D$2:$D$290,Declarations!$F$2:$F$290),"")</f>
        <v>Harvey Speed</v>
      </c>
      <c r="D55" s="23">
        <v>2</v>
      </c>
      <c r="E55" s="2" t="str">
        <f>IF(D55&gt;0,LOOKUP(D55,Constants!$L$2:$L$18,Constants!$M$2:$M$18),"")</f>
        <v>Coventry Godiva Harriers &amp; Sphinx AC</v>
      </c>
      <c r="F55" s="30" t="s">
        <v>275</v>
      </c>
      <c r="H55" s="59">
        <v>3</v>
      </c>
      <c r="I55" s="9">
        <f t="shared" si="11"/>
        <v>2216</v>
      </c>
      <c r="J55" s="2" t="str">
        <f>IF(I55&gt;0,LOOKUP(I55,Declarations!$D$2:$D$290,Declarations!$F$2:$F$290),"")</f>
        <v>George Hill</v>
      </c>
      <c r="K55" s="23">
        <v>22</v>
      </c>
      <c r="L55" s="2" t="str">
        <f>IF(K55&gt;0,LOOKUP(K55,Constants!$L$2:$L$18,Constants!$M$2:$M$18),"")</f>
        <v>Coventry Godiva Harriers &amp; Sphinx AC</v>
      </c>
      <c r="M55" s="30" t="s">
        <v>281</v>
      </c>
    </row>
    <row r="56" spans="1:13" ht="14.25">
      <c r="A56" s="59">
        <v>4</v>
      </c>
      <c r="B56" s="9">
        <f t="shared" si="10"/>
        <v>716</v>
      </c>
      <c r="C56" s="2" t="str">
        <f>IF(B56&gt;0,LOOKUP(B56,Declarations!$D$2:$D$290,Declarations!$F$2:$F$290),"")</f>
        <v>Adam Bache</v>
      </c>
      <c r="D56" s="23">
        <v>7</v>
      </c>
      <c r="E56" s="2" t="str">
        <f>IF(D56&gt;0,LOOKUP(D56,Constants!$L$2:$L$18,Constants!$M$2:$M$18),"")</f>
        <v>Tamworth AC</v>
      </c>
      <c r="F56" s="30" t="s">
        <v>276</v>
      </c>
      <c r="H56" s="59">
        <v>4</v>
      </c>
      <c r="I56" s="9">
        <f t="shared" si="11"/>
        <v>6616</v>
      </c>
      <c r="J56" s="2" t="str">
        <f>IF(I56&gt;0,LOOKUP(I56,Declarations!$D$2:$D$290,Declarations!$F$2:$F$290),"")</f>
        <v>Stephen Emery</v>
      </c>
      <c r="K56" s="23">
        <v>66</v>
      </c>
      <c r="L56" s="2" t="str">
        <f>IF(K56&gt;0,LOOKUP(K56,Constants!$L$2:$L$18,Constants!$M$2:$M$18),"")</f>
        <v>Rugby &amp; Northampton AC</v>
      </c>
      <c r="M56" s="30" t="s">
        <v>282</v>
      </c>
    </row>
    <row r="57" spans="1:13" ht="14.25">
      <c r="A57" s="59">
        <v>5</v>
      </c>
      <c r="B57" s="9">
        <f t="shared" si="10"/>
        <v>616</v>
      </c>
      <c r="C57" s="2" t="str">
        <f>IF(B57&gt;0,LOOKUP(B57,Declarations!$D$2:$D$290,Declarations!$F$2:$F$290),"")</f>
        <v>Stephen Milner</v>
      </c>
      <c r="D57" s="23">
        <v>6</v>
      </c>
      <c r="E57" s="2" t="str">
        <f>IF(D57&gt;0,LOOKUP(D57,Constants!$L$2:$L$18,Constants!$M$2:$M$18),"")</f>
        <v>Rugby &amp; Northampton AC</v>
      </c>
      <c r="F57" s="30" t="s">
        <v>277</v>
      </c>
      <c r="H57" s="59">
        <v>5</v>
      </c>
      <c r="I57" s="9">
        <f t="shared" si="11"/>
        <v>7716</v>
      </c>
      <c r="J57" s="2" t="str">
        <f>IF(I57&gt;0,LOOKUP(I57,Declarations!$D$2:$D$290,Declarations!$F$2:$F$290),"")</f>
        <v>David Levett</v>
      </c>
      <c r="K57" s="23">
        <v>77</v>
      </c>
      <c r="L57" s="2" t="str">
        <f>IF(K57&gt;0,LOOKUP(K57,Constants!$L$2:$L$18,Constants!$M$2:$M$18),"")</f>
        <v>Tamworth AC</v>
      </c>
      <c r="M57" s="30" t="s">
        <v>283</v>
      </c>
    </row>
    <row r="58" spans="1:13" ht="14.25">
      <c r="A58" s="59">
        <v>6</v>
      </c>
      <c r="B58" s="9">
        <f t="shared" si="10"/>
        <v>116</v>
      </c>
      <c r="C58" s="2" t="str">
        <f>IF(B58&gt;0,LOOKUP(B58,Declarations!$D$2:$D$290,Declarations!$F$2:$F$290),"")</f>
        <v>Ian McCann</v>
      </c>
      <c r="D58" s="23">
        <v>1</v>
      </c>
      <c r="E58" s="2" t="str">
        <f>IF(D58&gt;0,LOOKUP(D58,Constants!$L$2:$L$18,Constants!$M$2:$M$18),"")</f>
        <v>Cannock &amp; Staffs AC</v>
      </c>
      <c r="F58" s="30" t="s">
        <v>278</v>
      </c>
      <c r="H58" s="59">
        <v>6</v>
      </c>
      <c r="I58" s="9">
        <f t="shared" si="11"/>
        <v>0</v>
      </c>
      <c r="J58" s="2">
        <f>IF(I58&gt;0,LOOKUP(I58,Declarations!$D$2:$D$290,Declarations!$F$2:$F$290),"")</f>
      </c>
      <c r="K58" s="23"/>
      <c r="L58" s="2">
        <f>IF(K58&gt;0,LOOKUP(K58,Constants!$L$2:$L$18,Constants!$M$2:$M$18),"")</f>
      </c>
      <c r="M58" s="30"/>
    </row>
    <row r="59" spans="1:13" ht="14.25">
      <c r="A59" s="59">
        <v>7</v>
      </c>
      <c r="B59" s="9">
        <f t="shared" si="10"/>
        <v>0</v>
      </c>
      <c r="C59" s="2">
        <f>IF(B59&gt;0,LOOKUP(B59,Declarations!$D$2:$D$290,Declarations!$F$2:$F$290),"")</f>
      </c>
      <c r="D59" s="23"/>
      <c r="E59" s="2">
        <f>IF(D59&gt;0,LOOKUP(D59,Constants!$L$2:$L$18,Constants!$M$2:$M$18),"")</f>
      </c>
      <c r="F59" s="30"/>
      <c r="H59" s="59">
        <v>7</v>
      </c>
      <c r="I59" s="9">
        <f t="shared" si="11"/>
        <v>0</v>
      </c>
      <c r="J59" s="2">
        <f>IF(I59&gt;0,LOOKUP(I59,Declarations!$D$2:$D$290,Declarations!$F$2:$F$290),"")</f>
      </c>
      <c r="K59" s="23"/>
      <c r="L59" s="2">
        <f>IF(K59&gt;0,LOOKUP(K59,Constants!$L$2:$L$18,Constants!$M$2:$M$18),"")</f>
      </c>
      <c r="M59" s="30"/>
    </row>
    <row r="60" spans="1:13" ht="14.25">
      <c r="A60" s="59">
        <v>8</v>
      </c>
      <c r="B60" s="9">
        <f t="shared" si="10"/>
        <v>0</v>
      </c>
      <c r="C60" s="2">
        <f>IF(B60&gt;0,LOOKUP(B60,Declarations!$D$2:$D$290,Declarations!$F$2:$F$290),"")</f>
      </c>
      <c r="D60" s="23"/>
      <c r="E60" s="2">
        <f>IF(D60&gt;0,LOOKUP(D60,Constants!$L$2:$L$18,Constants!$M$2:$M$18),"")</f>
      </c>
      <c r="F60" s="30"/>
      <c r="H60" s="59">
        <v>8</v>
      </c>
      <c r="I60" s="9">
        <f t="shared" si="11"/>
        <v>0</v>
      </c>
      <c r="J60" s="2">
        <f>IF(I60&gt;0,LOOKUP(I60,Declarations!$D$2:$D$290,Declarations!$F$2:$F$290),"")</f>
      </c>
      <c r="K60" s="23"/>
      <c r="L60" s="2">
        <f>IF(K60&gt;0,LOOKUP(K60,Constants!$L$2:$L$18,Constants!$M$2:$M$18),"")</f>
      </c>
      <c r="M60" s="30"/>
    </row>
    <row r="62" spans="1:9" ht="14.25">
      <c r="A62" s="25" t="s">
        <v>130</v>
      </c>
      <c r="B62" s="25"/>
      <c r="H62" s="25" t="s">
        <v>130</v>
      </c>
      <c r="I62" s="25"/>
    </row>
    <row r="63" spans="1:13" ht="14.25">
      <c r="A63" s="59">
        <v>1</v>
      </c>
      <c r="B63" s="9">
        <f>IF(D63&gt;0,D63*100+19,0)</f>
        <v>619</v>
      </c>
      <c r="C63" s="2" t="str">
        <f>IF(B63&gt;0,LOOKUP(B63,Declarations!$D$2:$D$290,Declarations!$F$2:$F$290),"")</f>
        <v>Sam Wright</v>
      </c>
      <c r="D63" s="23">
        <v>6</v>
      </c>
      <c r="E63" s="2" t="str">
        <f>IF(D63&gt;0,LOOKUP(D63,Constants!$L$2:$L$18,Constants!$M$2:$M$18),"")</f>
        <v>Rugby &amp; Northampton AC</v>
      </c>
      <c r="F63" s="30" t="s">
        <v>359</v>
      </c>
      <c r="H63" s="59">
        <v>1</v>
      </c>
      <c r="I63" s="9">
        <f>IF(K63&gt;0,K63*100+19,0)</f>
        <v>219</v>
      </c>
      <c r="J63" s="2" t="str">
        <f>IF(I63&gt;0,LOOKUP(I63,Declarations!$D$2:$D$290,Declarations!$F$2:$F$290),"")</f>
        <v>Harvey Speed</v>
      </c>
      <c r="K63" s="23">
        <v>2</v>
      </c>
      <c r="L63" s="2" t="str">
        <f>IF(K63&gt;0,LOOKUP(K63,Constants!$L$2:$L$18,Constants!$M$2:$M$18),"")</f>
        <v>Coventry Godiva Harriers &amp; Sphinx AC</v>
      </c>
      <c r="M63" s="30" t="s">
        <v>364</v>
      </c>
    </row>
    <row r="64" spans="1:13" ht="14.25">
      <c r="A64" s="59">
        <v>2</v>
      </c>
      <c r="B64" s="9">
        <f aca="true" t="shared" si="12" ref="B64:B70">IF(D64&gt;0,D64*100+19,0)</f>
        <v>319</v>
      </c>
      <c r="C64" s="2" t="str">
        <f>IF(B64&gt;0,LOOKUP(B64,Declarations!$D$2:$D$290,Declarations!$F$2:$F$290),"")</f>
        <v>Sam Payne</v>
      </c>
      <c r="D64" s="23">
        <v>3</v>
      </c>
      <c r="E64" s="2" t="str">
        <f>IF(D64&gt;0,LOOKUP(D64,Constants!$L$2:$L$18,Constants!$M$2:$M$18),"")</f>
        <v>Derby AC</v>
      </c>
      <c r="F64" s="30" t="s">
        <v>360</v>
      </c>
      <c r="H64" s="59">
        <v>2</v>
      </c>
      <c r="I64" s="9">
        <f aca="true" t="shared" si="13" ref="I64:I70">IF(K64&gt;0,K64*100+19,0)</f>
        <v>0</v>
      </c>
      <c r="J64" s="2">
        <f>IF(I64&gt;0,LOOKUP(I64,Declarations!$D$2:$D$290,Declarations!$F$2:$F$290),"")</f>
      </c>
      <c r="K64" s="23"/>
      <c r="L64" s="2">
        <f>IF(K64&gt;0,LOOKUP(K64,Constants!$L$2:$L$18,Constants!$M$2:$M$18),"")</f>
      </c>
      <c r="M64" s="30"/>
    </row>
    <row r="65" spans="1:13" ht="14.25">
      <c r="A65" s="59">
        <v>3</v>
      </c>
      <c r="B65" s="9">
        <f t="shared" si="12"/>
        <v>2219</v>
      </c>
      <c r="C65" s="2" t="str">
        <f>IF(B65&gt;0,LOOKUP(B65,Declarations!$D$2:$D$290,Declarations!$F$2:$F$290),"")</f>
        <v>Luke Tolly</v>
      </c>
      <c r="D65" s="23">
        <v>22</v>
      </c>
      <c r="E65" s="2" t="str">
        <f>IF(D65&gt;0,LOOKUP(D65,Constants!$L$2:$L$18,Constants!$M$2:$M$18),"")</f>
        <v>Coventry Godiva Harriers &amp; Sphinx AC</v>
      </c>
      <c r="F65" s="30" t="s">
        <v>361</v>
      </c>
      <c r="H65" s="59">
        <v>3</v>
      </c>
      <c r="I65" s="9">
        <f t="shared" si="13"/>
        <v>0</v>
      </c>
      <c r="J65" s="2">
        <f>IF(I65&gt;0,LOOKUP(I65,Declarations!$D$2:$D$290,Declarations!$F$2:$F$290),"")</f>
      </c>
      <c r="K65" s="23"/>
      <c r="L65" s="2">
        <f>IF(K65&gt;0,LOOKUP(K65,Constants!$L$2:$L$18,Constants!$M$2:$M$18),"")</f>
      </c>
      <c r="M65" s="30"/>
    </row>
    <row r="66" spans="1:13" ht="14.25">
      <c r="A66" s="59">
        <v>4</v>
      </c>
      <c r="B66" s="9">
        <f t="shared" si="12"/>
        <v>519</v>
      </c>
      <c r="C66" s="2" t="str">
        <f>IF(B66&gt;0,LOOKUP(B66,Declarations!$D$2:$D$290,Declarations!$F$2:$F$290),"")</f>
        <v>Callum Clarke</v>
      </c>
      <c r="D66" s="23">
        <v>5</v>
      </c>
      <c r="E66" s="2" t="str">
        <f>IF(D66&gt;0,LOOKUP(D66,Constants!$L$2:$L$18,Constants!$M$2:$M$18),"")</f>
        <v>Nuneaton Harriers</v>
      </c>
      <c r="F66" s="30" t="s">
        <v>362</v>
      </c>
      <c r="H66" s="59">
        <v>4</v>
      </c>
      <c r="I66" s="9">
        <f t="shared" si="13"/>
        <v>0</v>
      </c>
      <c r="J66" s="2">
        <f>IF(I66&gt;0,LOOKUP(I66,Declarations!$D$2:$D$290,Declarations!$F$2:$F$290),"")</f>
      </c>
      <c r="K66" s="23"/>
      <c r="L66" s="2">
        <f>IF(K66&gt;0,LOOKUP(K66,Constants!$L$2:$L$18,Constants!$M$2:$M$18),"")</f>
      </c>
      <c r="M66" s="30"/>
    </row>
    <row r="67" spans="1:13" ht="14.25">
      <c r="A67" s="59">
        <v>5</v>
      </c>
      <c r="B67" s="9">
        <f t="shared" si="12"/>
        <v>719</v>
      </c>
      <c r="C67" s="2" t="str">
        <f>IF(B67&gt;0,LOOKUP(B67,Declarations!$D$2:$D$290,Declarations!$F$2:$F$290),"")</f>
        <v>Ashley Smetham</v>
      </c>
      <c r="D67" s="23">
        <v>7</v>
      </c>
      <c r="E67" s="2" t="str">
        <f>IF(D67&gt;0,LOOKUP(D67,Constants!$L$2:$L$18,Constants!$M$2:$M$18),"")</f>
        <v>Tamworth AC</v>
      </c>
      <c r="F67" s="30" t="s">
        <v>363</v>
      </c>
      <c r="H67" s="59">
        <v>5</v>
      </c>
      <c r="I67" s="9">
        <f t="shared" si="13"/>
        <v>0</v>
      </c>
      <c r="J67" s="2">
        <f>IF(I67&gt;0,LOOKUP(I67,Declarations!$D$2:$D$290,Declarations!$F$2:$F$290),"")</f>
      </c>
      <c r="K67" s="23"/>
      <c r="L67" s="2">
        <f>IF(K67&gt;0,LOOKUP(K67,Constants!$L$2:$L$18,Constants!$M$2:$M$18),"")</f>
      </c>
      <c r="M67" s="30"/>
    </row>
    <row r="68" spans="1:13" ht="14.25">
      <c r="A68" s="59">
        <v>6</v>
      </c>
      <c r="B68" s="9">
        <f t="shared" si="12"/>
        <v>0</v>
      </c>
      <c r="C68" s="2">
        <f>IF(B68&gt;0,LOOKUP(B68,Declarations!$D$2:$D$290,Declarations!$F$2:$F$290),"")</f>
      </c>
      <c r="D68" s="23"/>
      <c r="E68" s="2">
        <f>IF(D68&gt;0,LOOKUP(D68,Constants!$L$2:$L$18,Constants!$M$2:$M$18),"")</f>
      </c>
      <c r="F68" s="30"/>
      <c r="H68" s="59">
        <v>6</v>
      </c>
      <c r="I68" s="9">
        <f t="shared" si="13"/>
        <v>0</v>
      </c>
      <c r="J68" s="2">
        <f>IF(I68&gt;0,LOOKUP(I68,Declarations!$D$2:$D$290,Declarations!$F$2:$F$290),"")</f>
      </c>
      <c r="K68" s="23"/>
      <c r="L68" s="2">
        <f>IF(K68&gt;0,LOOKUP(K68,Constants!$L$2:$L$18,Constants!$M$2:$M$18),"")</f>
      </c>
      <c r="M68" s="30"/>
    </row>
    <row r="69" spans="1:13" ht="14.25">
      <c r="A69" s="59">
        <v>7</v>
      </c>
      <c r="B69" s="9">
        <f t="shared" si="12"/>
        <v>0</v>
      </c>
      <c r="C69" s="2">
        <f>IF(B69&gt;0,LOOKUP(B69,Declarations!$D$2:$D$290,Declarations!$F$2:$F$290),"")</f>
      </c>
      <c r="D69" s="23"/>
      <c r="E69" s="2">
        <f>IF(D69&gt;0,LOOKUP(D69,Constants!$L$2:$L$18,Constants!$M$2:$M$18),"")</f>
      </c>
      <c r="F69" s="30"/>
      <c r="H69" s="59">
        <v>7</v>
      </c>
      <c r="I69" s="9">
        <f t="shared" si="13"/>
        <v>0</v>
      </c>
      <c r="J69" s="2">
        <f>IF(I69&gt;0,LOOKUP(I69,Declarations!$D$2:$D$290,Declarations!$F$2:$F$290),"")</f>
      </c>
      <c r="K69" s="23"/>
      <c r="L69" s="2">
        <f>IF(K69&gt;0,LOOKUP(K69,Constants!$L$2:$L$18,Constants!$M$2:$M$18),"")</f>
      </c>
      <c r="M69" s="30"/>
    </row>
    <row r="70" spans="1:13" ht="14.25">
      <c r="A70" s="59">
        <v>8</v>
      </c>
      <c r="B70" s="9">
        <f t="shared" si="12"/>
        <v>0</v>
      </c>
      <c r="C70" s="2">
        <f>IF(B70&gt;0,LOOKUP(B70,Declarations!$D$2:$D$290,Declarations!$F$2:$F$290),"")</f>
      </c>
      <c r="D70" s="23"/>
      <c r="E70" s="2">
        <f>IF(D70&gt;0,LOOKUP(D70,Constants!$L$2:$L$18,Constants!$M$2:$M$18),"")</f>
      </c>
      <c r="F70" s="30"/>
      <c r="H70" s="59">
        <v>8</v>
      </c>
      <c r="I70" s="9">
        <f t="shared" si="13"/>
        <v>0</v>
      </c>
      <c r="J70" s="2">
        <f>IF(I70&gt;0,LOOKUP(I70,Declarations!$D$2:$D$290,Declarations!$F$2:$F$290),"")</f>
      </c>
      <c r="K70" s="23"/>
      <c r="L70" s="2">
        <f>IF(K70&gt;0,LOOKUP(K70,Constants!$L$2:$L$18,Constants!$M$2:$M$18),"")</f>
      </c>
      <c r="M70" s="30"/>
    </row>
    <row r="71" spans="1:13" ht="14.25">
      <c r="A71" s="59"/>
      <c r="D71" s="23"/>
      <c r="F71" s="30"/>
      <c r="H71" s="59"/>
      <c r="K71" s="23"/>
      <c r="M71" s="30"/>
    </row>
    <row r="72" spans="1:13" s="64" customFormat="1" ht="15" customHeight="1">
      <c r="A72" s="89" t="s">
        <v>68</v>
      </c>
      <c r="B72" s="89"/>
      <c r="C72" s="89"/>
      <c r="D72" s="89"/>
      <c r="E72" s="89"/>
      <c r="F72" s="89"/>
      <c r="H72" s="89" t="s">
        <v>69</v>
      </c>
      <c r="I72" s="89"/>
      <c r="J72" s="89"/>
      <c r="K72" s="89"/>
      <c r="L72" s="89"/>
      <c r="M72" s="89"/>
    </row>
    <row r="73" spans="1:12" ht="14.25">
      <c r="A73" s="25" t="s">
        <v>87</v>
      </c>
      <c r="B73" s="25"/>
      <c r="D73" s="31" t="s">
        <v>37</v>
      </c>
      <c r="E73" s="32"/>
      <c r="H73" s="25" t="s">
        <v>87</v>
      </c>
      <c r="I73" s="25"/>
      <c r="K73" s="31" t="s">
        <v>37</v>
      </c>
      <c r="L73" s="32"/>
    </row>
    <row r="74" spans="1:13" ht="14.25">
      <c r="A74" s="59">
        <v>1</v>
      </c>
      <c r="B74" s="9">
        <f>IF(D74&gt;0,D74*100+21,0)</f>
        <v>721</v>
      </c>
      <c r="C74" s="2" t="str">
        <f>IF(B74&gt;0,LOOKUP(B74,Declarations!$D$2:$D$290,Declarations!$F$2:$F$290),"")</f>
        <v>Nathan Woodward</v>
      </c>
      <c r="D74" s="23">
        <v>7</v>
      </c>
      <c r="E74" s="2" t="str">
        <f>IF(D74&gt;0,LOOKUP(D74,Constants!$L$2:$L$18,Constants!$M$2:$M$18),"")</f>
        <v>Tamworth AC</v>
      </c>
      <c r="F74" s="30" t="s">
        <v>309</v>
      </c>
      <c r="H74" s="59">
        <v>1</v>
      </c>
      <c r="I74" s="9">
        <f>IF(K74&gt;0,K74*100+21,0)</f>
        <v>7721</v>
      </c>
      <c r="J74" s="2" t="str">
        <f>IF(I74&gt;0,LOOKUP(I74,Declarations!$D$2:$D$290,Declarations!$F$2:$F$290),"")</f>
        <v>David Lines</v>
      </c>
      <c r="K74" s="23">
        <v>77</v>
      </c>
      <c r="L74" s="2" t="str">
        <f>IF(K74&gt;0,LOOKUP(K74,Constants!$L$2:$L$18,Constants!$M$2:$M$18),"")</f>
        <v>Tamworth AC</v>
      </c>
      <c r="M74" s="30" t="s">
        <v>311</v>
      </c>
    </row>
    <row r="75" spans="1:13" ht="14.25">
      <c r="A75" s="59">
        <v>2</v>
      </c>
      <c r="B75" s="9">
        <f aca="true" t="shared" si="14" ref="B75:B81">IF(D75&gt;0,D75*100+21,0)</f>
        <v>321</v>
      </c>
      <c r="C75" s="2" t="str">
        <f>IF(B75&gt;0,LOOKUP(B75,Declarations!$D$2:$D$290,Declarations!$F$2:$F$290),"")</f>
        <v>Duncan Hawksworth</v>
      </c>
      <c r="D75" s="23">
        <v>3</v>
      </c>
      <c r="E75" s="2" t="str">
        <f>IF(D75&gt;0,LOOKUP(D75,Constants!$L$2:$L$18,Constants!$M$2:$M$18),"")</f>
        <v>Derby AC</v>
      </c>
      <c r="F75" s="30" t="s">
        <v>310</v>
      </c>
      <c r="H75" s="59">
        <v>2</v>
      </c>
      <c r="I75" s="9">
        <f aca="true" t="shared" si="15" ref="I75:I81">IF(K75&gt;0,K75*100+21,0)</f>
        <v>0</v>
      </c>
      <c r="J75" s="2">
        <f>IF(I75&gt;0,LOOKUP(I75,Declarations!$D$2:$D$290,Declarations!$F$2:$F$290),"")</f>
      </c>
      <c r="K75" s="23"/>
      <c r="L75" s="2">
        <f>IF(K75&gt;0,LOOKUP(K75,Constants!$L$2:$L$18,Constants!$M$2:$M$18),"")</f>
      </c>
      <c r="M75" s="30"/>
    </row>
    <row r="76" spans="1:13" ht="14.25">
      <c r="A76" s="59">
        <v>3</v>
      </c>
      <c r="B76" s="9">
        <f t="shared" si="14"/>
        <v>0</v>
      </c>
      <c r="C76" s="2">
        <f>IF(B76&gt;0,LOOKUP(B76,Declarations!$D$2:$D$290,Declarations!$F$2:$F$290),"")</f>
      </c>
      <c r="D76" s="23"/>
      <c r="E76" s="2">
        <f>IF(D76&gt;0,LOOKUP(D76,Constants!$L$2:$L$18,Constants!$M$2:$M$18),"")</f>
      </c>
      <c r="F76" s="30"/>
      <c r="H76" s="59">
        <v>3</v>
      </c>
      <c r="I76" s="9">
        <f t="shared" si="15"/>
        <v>0</v>
      </c>
      <c r="J76" s="2">
        <f>IF(I76&gt;0,LOOKUP(I76,Declarations!$D$2:$D$290,Declarations!$F$2:$F$290),"")</f>
      </c>
      <c r="K76" s="23"/>
      <c r="L76" s="2">
        <f>IF(K76&gt;0,LOOKUP(K76,Constants!$L$2:$L$18,Constants!$M$2:$M$18),"")</f>
      </c>
      <c r="M76" s="30"/>
    </row>
    <row r="77" spans="1:13" ht="14.25">
      <c r="A77" s="59">
        <v>4</v>
      </c>
      <c r="B77" s="9">
        <f t="shared" si="14"/>
        <v>0</v>
      </c>
      <c r="C77" s="2">
        <f>IF(B77&gt;0,LOOKUP(B77,Declarations!$D$2:$D$290,Declarations!$F$2:$F$290),"")</f>
      </c>
      <c r="D77" s="23"/>
      <c r="E77" s="2">
        <f>IF(D77&gt;0,LOOKUP(D77,Constants!$L$2:$L$18,Constants!$M$2:$M$18),"")</f>
      </c>
      <c r="F77" s="30"/>
      <c r="H77" s="59">
        <v>4</v>
      </c>
      <c r="I77" s="9">
        <f t="shared" si="15"/>
        <v>0</v>
      </c>
      <c r="J77" s="2">
        <f>IF(I77&gt;0,LOOKUP(I77,Declarations!$D$2:$D$290,Declarations!$F$2:$F$290),"")</f>
      </c>
      <c r="K77" s="23"/>
      <c r="L77" s="2">
        <f>IF(K77&gt;0,LOOKUP(K77,Constants!$L$2:$L$18,Constants!$M$2:$M$18),"")</f>
      </c>
      <c r="M77" s="30"/>
    </row>
    <row r="78" spans="1:13" ht="14.25">
      <c r="A78" s="59">
        <v>5</v>
      </c>
      <c r="B78" s="9">
        <f t="shared" si="14"/>
        <v>0</v>
      </c>
      <c r="C78" s="2">
        <f>IF(B78&gt;0,LOOKUP(B78,Declarations!$D$2:$D$290,Declarations!$F$2:$F$290),"")</f>
      </c>
      <c r="D78" s="23"/>
      <c r="E78" s="2">
        <f>IF(D78&gt;0,LOOKUP(D78,Constants!$L$2:$L$18,Constants!$M$2:$M$18),"")</f>
      </c>
      <c r="F78" s="30"/>
      <c r="H78" s="59">
        <v>5</v>
      </c>
      <c r="I78" s="9">
        <f t="shared" si="15"/>
        <v>0</v>
      </c>
      <c r="J78" s="2">
        <f>IF(I78&gt;0,LOOKUP(I78,Declarations!$D$2:$D$290,Declarations!$F$2:$F$290),"")</f>
      </c>
      <c r="K78" s="23"/>
      <c r="L78" s="2">
        <f>IF(K78&gt;0,LOOKUP(K78,Constants!$L$2:$L$18,Constants!$M$2:$M$18),"")</f>
      </c>
      <c r="M78" s="30"/>
    </row>
    <row r="79" spans="1:13" ht="14.25">
      <c r="A79" s="59">
        <v>6</v>
      </c>
      <c r="B79" s="9">
        <f t="shared" si="14"/>
        <v>0</v>
      </c>
      <c r="C79" s="2">
        <f>IF(B79&gt;0,LOOKUP(B79,Declarations!$D$2:$D$290,Declarations!$F$2:$F$290),"")</f>
      </c>
      <c r="D79" s="23"/>
      <c r="E79" s="2">
        <f>IF(D79&gt;0,LOOKUP(D79,Constants!$L$2:$L$18,Constants!$M$2:$M$18),"")</f>
      </c>
      <c r="F79" s="30"/>
      <c r="H79" s="59">
        <v>6</v>
      </c>
      <c r="I79" s="9">
        <f t="shared" si="15"/>
        <v>0</v>
      </c>
      <c r="J79" s="2">
        <f>IF(I79&gt;0,LOOKUP(I79,Declarations!$D$2:$D$290,Declarations!$F$2:$F$290),"")</f>
      </c>
      <c r="K79" s="23"/>
      <c r="L79" s="2">
        <f>IF(K79&gt;0,LOOKUP(K79,Constants!$L$2:$L$18,Constants!$M$2:$M$18),"")</f>
      </c>
      <c r="M79" s="30"/>
    </row>
    <row r="80" spans="1:13" ht="14.25">
      <c r="A80" s="59">
        <v>7</v>
      </c>
      <c r="B80" s="9">
        <f t="shared" si="14"/>
        <v>0</v>
      </c>
      <c r="C80" s="2">
        <f>IF(B80&gt;0,LOOKUP(B80,Declarations!$D$2:$D$290,Declarations!$F$2:$F$290),"")</f>
      </c>
      <c r="D80" s="23"/>
      <c r="E80" s="2">
        <f>IF(D80&gt;0,LOOKUP(D80,Constants!$L$2:$L$18,Constants!$M$2:$M$18),"")</f>
      </c>
      <c r="F80" s="30"/>
      <c r="H80" s="59">
        <v>7</v>
      </c>
      <c r="I80" s="9">
        <f t="shared" si="15"/>
        <v>0</v>
      </c>
      <c r="J80" s="2">
        <f>IF(I80&gt;0,LOOKUP(I80,Declarations!$D$2:$D$290,Declarations!$F$2:$F$290),"")</f>
      </c>
      <c r="K80" s="23"/>
      <c r="L80" s="2">
        <f>IF(K80&gt;0,LOOKUP(K80,Constants!$L$2:$L$18,Constants!$M$2:$M$18),"")</f>
      </c>
      <c r="M80" s="30"/>
    </row>
    <row r="81" spans="1:13" ht="14.25">
      <c r="A81" s="59">
        <v>8</v>
      </c>
      <c r="B81" s="9">
        <f t="shared" si="14"/>
        <v>0</v>
      </c>
      <c r="C81" s="2">
        <f>IF(B81&gt;0,LOOKUP(B81,Declarations!$D$2:$D$290,Declarations!$F$2:$F$290),"")</f>
      </c>
      <c r="D81" s="23"/>
      <c r="E81" s="2">
        <f>IF(D81&gt;0,LOOKUP(D81,Constants!$L$2:$L$18,Constants!$M$2:$M$18),"")</f>
      </c>
      <c r="F81" s="30"/>
      <c r="H81" s="59">
        <v>8</v>
      </c>
      <c r="I81" s="9">
        <f t="shared" si="15"/>
        <v>0</v>
      </c>
      <c r="J81" s="2">
        <f>IF(I81&gt;0,LOOKUP(I81,Declarations!$D$2:$D$290,Declarations!$F$2:$F$290),"")</f>
      </c>
      <c r="K81" s="23"/>
      <c r="L81" s="2">
        <f>IF(K81&gt;0,LOOKUP(K81,Constants!$L$2:$L$18,Constants!$M$2:$M$18),"")</f>
      </c>
      <c r="M81" s="30"/>
    </row>
    <row r="83" spans="1:11" ht="14.25">
      <c r="A83" s="25" t="s">
        <v>24</v>
      </c>
      <c r="B83" s="25"/>
      <c r="D83" s="31"/>
      <c r="H83" s="25" t="s">
        <v>24</v>
      </c>
      <c r="I83" s="25"/>
      <c r="K83" s="31"/>
    </row>
    <row r="84" spans="1:13" ht="14.25">
      <c r="A84" s="59">
        <v>1</v>
      </c>
      <c r="B84" s="9">
        <f>IF(D84&gt;0,D84*100+24,0)</f>
        <v>724</v>
      </c>
      <c r="C84" s="2" t="str">
        <f>IF(B84&gt;0,LOOKUP(B84,Declarations!$D$2:$D$290,Declarations!$F$2:$F$290),"")</f>
        <v>Nathan Woodward</v>
      </c>
      <c r="D84" s="23">
        <v>7</v>
      </c>
      <c r="E84" s="2" t="str">
        <f>IF(D84&gt;0,LOOKUP(D84,Constants!$L$2:$L$18,Constants!$M$2:$M$18),"")</f>
        <v>Tamworth AC</v>
      </c>
      <c r="F84" s="30" t="s">
        <v>236</v>
      </c>
      <c r="G84" s="2" t="s">
        <v>314</v>
      </c>
      <c r="H84" s="59">
        <v>1</v>
      </c>
      <c r="I84" s="9">
        <f>IF(K84&gt;0,K84*100+24,0)</f>
        <v>7724</v>
      </c>
      <c r="J84" s="2" t="str">
        <f>IF(I84&gt;0,LOOKUP(I84,Declarations!$D$2:$D$290,Declarations!$F$2:$F$290),"")</f>
        <v>David Lines</v>
      </c>
      <c r="K84" s="23">
        <v>77</v>
      </c>
      <c r="L84" s="2" t="str">
        <f>IF(K84&gt;0,LOOKUP(K84,Constants!$L$2:$L$18,Constants!$M$2:$M$18),"")</f>
        <v>Tamworth AC</v>
      </c>
      <c r="M84" s="30" t="s">
        <v>238</v>
      </c>
    </row>
    <row r="85" spans="1:13" ht="14.25">
      <c r="A85" s="59">
        <v>2</v>
      </c>
      <c r="B85" s="9">
        <f aca="true" t="shared" si="16" ref="B85:B91">IF(D85&gt;0,D85*100+24,0)</f>
        <v>224</v>
      </c>
      <c r="C85" s="2" t="str">
        <f>IF(B85&gt;0,LOOKUP(B85,Declarations!$D$2:$D$290,Declarations!$F$2:$F$290),"")</f>
        <v>George Hill</v>
      </c>
      <c r="D85" s="23">
        <v>2</v>
      </c>
      <c r="E85" s="2" t="str">
        <f>IF(D85&gt;0,LOOKUP(D85,Constants!$L$2:$L$18,Constants!$M$2:$M$18),"")</f>
        <v>Coventry Godiva Harriers &amp; Sphinx AC</v>
      </c>
      <c r="F85" s="30" t="s">
        <v>237</v>
      </c>
      <c r="H85" s="59">
        <v>2</v>
      </c>
      <c r="I85" s="9">
        <f aca="true" t="shared" si="17" ref="I85:I91">IF(K85&gt;0,K85*100+24,0)</f>
        <v>0</v>
      </c>
      <c r="J85" s="2">
        <f>IF(I85&gt;0,LOOKUP(I85,Declarations!$D$2:$D$290,Declarations!$F$2:$F$290),"")</f>
      </c>
      <c r="K85" s="23"/>
      <c r="L85" s="2">
        <f>IF(K85&gt;0,LOOKUP(K85,Constants!$L$2:$L$18,Constants!$M$2:$M$18),"")</f>
      </c>
      <c r="M85" s="30"/>
    </row>
    <row r="86" spans="1:13" ht="14.25">
      <c r="A86" s="59">
        <v>3</v>
      </c>
      <c r="B86" s="9">
        <f t="shared" si="16"/>
        <v>0</v>
      </c>
      <c r="C86" s="2">
        <f>IF(B86&gt;0,LOOKUP(B86,Declarations!$D$2:$D$290,Declarations!$F$2:$F$290),"")</f>
      </c>
      <c r="D86" s="23"/>
      <c r="E86" s="2">
        <f>IF(D86&gt;0,LOOKUP(D86,Constants!$L$2:$L$18,Constants!$M$2:$M$18),"")</f>
      </c>
      <c r="F86" s="30"/>
      <c r="H86" s="59">
        <v>3</v>
      </c>
      <c r="I86" s="9">
        <f t="shared" si="17"/>
        <v>0</v>
      </c>
      <c r="J86" s="2">
        <f>IF(I86&gt;0,LOOKUP(I86,Declarations!$D$2:$D$290,Declarations!$F$2:$F$290),"")</f>
      </c>
      <c r="K86" s="23"/>
      <c r="L86" s="2">
        <f>IF(K86&gt;0,LOOKUP(K86,Constants!$L$2:$L$18,Constants!$M$2:$M$18),"")</f>
      </c>
      <c r="M86" s="30"/>
    </row>
    <row r="87" spans="1:13" ht="14.25">
      <c r="A87" s="59">
        <v>4</v>
      </c>
      <c r="B87" s="9">
        <f t="shared" si="16"/>
        <v>0</v>
      </c>
      <c r="C87" s="2">
        <f>IF(B87&gt;0,LOOKUP(B87,Declarations!$D$2:$D$290,Declarations!$F$2:$F$290),"")</f>
      </c>
      <c r="D87" s="23"/>
      <c r="E87" s="2">
        <f>IF(D87&gt;0,LOOKUP(D87,Constants!$L$2:$L$18,Constants!$M$2:$M$18),"")</f>
      </c>
      <c r="F87" s="30"/>
      <c r="H87" s="59">
        <v>4</v>
      </c>
      <c r="I87" s="9">
        <f t="shared" si="17"/>
        <v>0</v>
      </c>
      <c r="J87" s="2">
        <f>IF(I87&gt;0,LOOKUP(I87,Declarations!$D$2:$D$290,Declarations!$F$2:$F$290),"")</f>
      </c>
      <c r="K87" s="23"/>
      <c r="L87" s="2">
        <f>IF(K87&gt;0,LOOKUP(K87,Constants!$L$2:$L$18,Constants!$M$2:$M$18),"")</f>
      </c>
      <c r="M87" s="30"/>
    </row>
    <row r="88" spans="1:13" ht="14.25">
      <c r="A88" s="59">
        <v>5</v>
      </c>
      <c r="B88" s="9">
        <f t="shared" si="16"/>
        <v>0</v>
      </c>
      <c r="C88" s="2">
        <f>IF(B88&gt;0,LOOKUP(B88,Declarations!$D$2:$D$290,Declarations!$F$2:$F$290),"")</f>
      </c>
      <c r="D88" s="23"/>
      <c r="E88" s="2">
        <f>IF(D88&gt;0,LOOKUP(D88,Constants!$L$2:$L$18,Constants!$M$2:$M$18),"")</f>
      </c>
      <c r="F88" s="30"/>
      <c r="H88" s="59">
        <v>5</v>
      </c>
      <c r="I88" s="9">
        <f t="shared" si="17"/>
        <v>0</v>
      </c>
      <c r="J88" s="2">
        <f>IF(I88&gt;0,LOOKUP(I88,Declarations!$D$2:$D$290,Declarations!$F$2:$F$290),"")</f>
      </c>
      <c r="K88" s="23"/>
      <c r="L88" s="2">
        <f>IF(K88&gt;0,LOOKUP(K88,Constants!$L$2:$L$18,Constants!$M$2:$M$18),"")</f>
      </c>
      <c r="M88" s="30"/>
    </row>
    <row r="89" spans="1:13" ht="14.25">
      <c r="A89" s="59">
        <v>6</v>
      </c>
      <c r="B89" s="9">
        <f t="shared" si="16"/>
        <v>0</v>
      </c>
      <c r="C89" s="2">
        <f>IF(B89&gt;0,LOOKUP(B89,Declarations!$D$2:$D$290,Declarations!$F$2:$F$290),"")</f>
      </c>
      <c r="D89" s="23"/>
      <c r="E89" s="2">
        <f>IF(D89&gt;0,LOOKUP(D89,Constants!$L$2:$L$18,Constants!$M$2:$M$18),"")</f>
      </c>
      <c r="F89" s="30"/>
      <c r="H89" s="59">
        <v>6</v>
      </c>
      <c r="I89" s="9">
        <f t="shared" si="17"/>
        <v>0</v>
      </c>
      <c r="J89" s="2">
        <f>IF(I89&gt;0,LOOKUP(I89,Declarations!$D$2:$D$290,Declarations!$F$2:$F$290),"")</f>
      </c>
      <c r="K89" s="23"/>
      <c r="L89" s="2">
        <f>IF(K89&gt;0,LOOKUP(K89,Constants!$L$2:$L$18,Constants!$M$2:$M$18),"")</f>
      </c>
      <c r="M89" s="30"/>
    </row>
    <row r="90" spans="1:13" ht="14.25">
      <c r="A90" s="59">
        <v>7</v>
      </c>
      <c r="B90" s="9">
        <f t="shared" si="16"/>
        <v>0</v>
      </c>
      <c r="C90" s="2">
        <f>IF(B90&gt;0,LOOKUP(B90,Declarations!$D$2:$D$290,Declarations!$F$2:$F$290),"")</f>
      </c>
      <c r="D90" s="23"/>
      <c r="E90" s="2">
        <f>IF(D90&gt;0,LOOKUP(D90,Constants!$L$2:$L$18,Constants!$M$2:$M$18),"")</f>
      </c>
      <c r="F90" s="30"/>
      <c r="H90" s="59">
        <v>7</v>
      </c>
      <c r="I90" s="9">
        <f t="shared" si="17"/>
        <v>0</v>
      </c>
      <c r="J90" s="2">
        <f>IF(I90&gt;0,LOOKUP(I90,Declarations!$D$2:$D$290,Declarations!$F$2:$F$290),"")</f>
      </c>
      <c r="K90" s="23"/>
      <c r="L90" s="2">
        <f>IF(K90&gt;0,LOOKUP(K90,Constants!$L$2:$L$18,Constants!$M$2:$M$18),"")</f>
      </c>
      <c r="M90" s="30"/>
    </row>
    <row r="91" spans="1:13" ht="14.25">
      <c r="A91" s="59">
        <v>8</v>
      </c>
      <c r="B91" s="9">
        <f t="shared" si="16"/>
        <v>0</v>
      </c>
      <c r="C91" s="2">
        <f>IF(B91&gt;0,LOOKUP(B91,Declarations!$D$2:$D$290,Declarations!$F$2:$F$290),"")</f>
      </c>
      <c r="D91" s="23"/>
      <c r="E91" s="2">
        <f>IF(D91&gt;0,LOOKUP(D91,Constants!$L$2:$L$18,Constants!$M$2:$M$18),"")</f>
      </c>
      <c r="F91" s="30"/>
      <c r="H91" s="59">
        <v>8</v>
      </c>
      <c r="I91" s="9">
        <f t="shared" si="17"/>
        <v>0</v>
      </c>
      <c r="J91" s="2">
        <f>IF(I91&gt;0,LOOKUP(I91,Declarations!$D$2:$D$290,Declarations!$F$2:$F$290),"")</f>
      </c>
      <c r="K91" s="23"/>
      <c r="L91" s="2">
        <f>IF(K91&gt;0,LOOKUP(K91,Constants!$L$2:$L$18,Constants!$M$2:$M$18),"")</f>
      </c>
      <c r="M91" s="30"/>
    </row>
    <row r="93" spans="1:9" ht="14.25">
      <c r="A93" s="25" t="s">
        <v>39</v>
      </c>
      <c r="B93" s="25"/>
      <c r="H93" s="25" t="s">
        <v>39</v>
      </c>
      <c r="I93" s="25"/>
    </row>
    <row r="94" spans="1:13" ht="14.25">
      <c r="A94" s="59">
        <v>1</v>
      </c>
      <c r="B94" s="9">
        <f>IF(D94&gt;0,D94*100+31,0)</f>
        <v>7731</v>
      </c>
      <c r="C94" s="2" t="str">
        <f>IF(B94&gt;0,LOOKUP(B94,Declarations!$D$2:$D$290,Declarations!$F$2:$F$290),"")</f>
        <v>Juan Padmore</v>
      </c>
      <c r="D94" s="23">
        <v>77</v>
      </c>
      <c r="E94" s="2" t="str">
        <f>IF(D94&gt;0,LOOKUP(D94,Constants!$L$2:$L$18,Constants!$M$2:$M$18),"")</f>
        <v>Tamworth AC</v>
      </c>
      <c r="F94" s="30" t="s">
        <v>223</v>
      </c>
      <c r="G94" s="2" t="s">
        <v>315</v>
      </c>
      <c r="H94" s="59">
        <v>1</v>
      </c>
      <c r="I94" s="9">
        <f>IF(K94&gt;0,K94*100+31,0)</f>
        <v>731</v>
      </c>
      <c r="J94" s="2" t="str">
        <f>IF(I94&gt;0,LOOKUP(I94,Declarations!$D$2:$D$290,Declarations!$F$2:$F$290),"")</f>
        <v>Adam Smith</v>
      </c>
      <c r="K94" s="23">
        <v>7</v>
      </c>
      <c r="L94" s="2" t="str">
        <f>IF(K94&gt;0,LOOKUP(K94,Constants!$L$2:$L$18,Constants!$M$2:$M$18),"")</f>
        <v>Tamworth AC</v>
      </c>
      <c r="M94" s="30" t="s">
        <v>231</v>
      </c>
    </row>
    <row r="95" spans="1:13" ht="14.25">
      <c r="A95" s="59">
        <v>2</v>
      </c>
      <c r="B95" s="9">
        <f aca="true" t="shared" si="18" ref="B95:B101">IF(D95&gt;0,D95*100+31,0)</f>
        <v>231</v>
      </c>
      <c r="C95" s="2" t="str">
        <f>IF(B95&gt;0,LOOKUP(B95,Declarations!$D$2:$D$290,Declarations!$F$2:$F$290),"")</f>
        <v>Jamie Blundell</v>
      </c>
      <c r="D95" s="23">
        <v>2</v>
      </c>
      <c r="E95" s="2" t="str">
        <f>IF(D95&gt;0,LOOKUP(D95,Constants!$L$2:$L$18,Constants!$M$2:$M$18),"")</f>
        <v>Coventry Godiva Harriers &amp; Sphinx AC</v>
      </c>
      <c r="F95" s="30" t="s">
        <v>224</v>
      </c>
      <c r="H95" s="59">
        <v>2</v>
      </c>
      <c r="I95" s="9">
        <f aca="true" t="shared" si="19" ref="I95:I101">IF(K95&gt;0,K95*100+31,0)</f>
        <v>3331</v>
      </c>
      <c r="J95" s="2" t="str">
        <f>IF(I95&gt;0,LOOKUP(I95,Declarations!$D$2:$D$290,Declarations!$F$2:$F$290),"")</f>
        <v>Nathan Roulstone</v>
      </c>
      <c r="K95" s="23">
        <v>33</v>
      </c>
      <c r="L95" s="2" t="str">
        <f>IF(K95&gt;0,LOOKUP(K95,Constants!$L$2:$L$18,Constants!$M$2:$M$18),"")</f>
        <v>Derby AC</v>
      </c>
      <c r="M95" s="30" t="s">
        <v>232</v>
      </c>
    </row>
    <row r="96" spans="1:13" ht="14.25">
      <c r="A96" s="59">
        <v>3</v>
      </c>
      <c r="B96" s="9">
        <f t="shared" si="18"/>
        <v>431</v>
      </c>
      <c r="C96" s="2" t="str">
        <f>IF(B96&gt;0,LOOKUP(B96,Declarations!$D$2:$D$290,Declarations!$F$2:$F$290),"")</f>
        <v>Sam Wren</v>
      </c>
      <c r="D96" s="23">
        <v>4</v>
      </c>
      <c r="E96" s="2" t="str">
        <f>IF(D96&gt;0,LOOKUP(D96,Constants!$L$2:$L$18,Constants!$M$2:$M$18),"")</f>
        <v>Leicester Coritanian AC</v>
      </c>
      <c r="F96" s="30" t="s">
        <v>225</v>
      </c>
      <c r="H96" s="59">
        <v>3</v>
      </c>
      <c r="I96" s="9">
        <f t="shared" si="19"/>
        <v>1131</v>
      </c>
      <c r="J96" s="2" t="str">
        <f>IF(I96&gt;0,LOOKUP(I96,Declarations!$D$2:$D$290,Declarations!$F$2:$F$290),"")</f>
        <v>Ryan Deeley</v>
      </c>
      <c r="K96" s="23">
        <v>11</v>
      </c>
      <c r="L96" s="2" t="str">
        <f>IF(K96&gt;0,LOOKUP(K96,Constants!$L$2:$L$18,Constants!$M$2:$M$18),"")</f>
        <v>Cannock &amp; Staffs AC</v>
      </c>
      <c r="M96" s="30" t="s">
        <v>233</v>
      </c>
    </row>
    <row r="97" spans="1:13" ht="14.25">
      <c r="A97" s="59">
        <v>4</v>
      </c>
      <c r="B97" s="9">
        <f t="shared" si="18"/>
        <v>831</v>
      </c>
      <c r="C97" s="2" t="str">
        <f>IF(B97&gt;0,LOOKUP(B97,Declarations!$D$2:$D$290,Declarations!$F$2:$F$290),"")</f>
        <v>Ashley Wilson</v>
      </c>
      <c r="D97" s="23">
        <v>8</v>
      </c>
      <c r="E97" s="2" t="str">
        <f>IF(D97&gt;0,LOOKUP(D97,Constants!$L$2:$L$18,Constants!$M$2:$M$18),"")</f>
        <v>City of Stoke AC</v>
      </c>
      <c r="F97" s="30" t="s">
        <v>226</v>
      </c>
      <c r="H97" s="59">
        <v>4</v>
      </c>
      <c r="I97" s="9">
        <f t="shared" si="19"/>
        <v>8831</v>
      </c>
      <c r="J97" s="2" t="str">
        <f>IF(I97&gt;0,LOOKUP(I97,Declarations!$D$2:$D$290,Declarations!$F$2:$F$290),"")</f>
        <v>Leon Ashman</v>
      </c>
      <c r="K97" s="23">
        <v>88</v>
      </c>
      <c r="L97" s="2" t="str">
        <f>IF(K97&gt;0,LOOKUP(K97,Constants!$L$2:$L$18,Constants!$M$2:$M$18),"")</f>
        <v>City of Stoke AC</v>
      </c>
      <c r="M97" s="30" t="s">
        <v>234</v>
      </c>
    </row>
    <row r="98" spans="1:13" ht="14.25">
      <c r="A98" s="59">
        <v>5</v>
      </c>
      <c r="B98" s="9">
        <f t="shared" si="18"/>
        <v>331</v>
      </c>
      <c r="C98" s="2" t="str">
        <f>IF(B98&gt;0,LOOKUP(B98,Declarations!$D$2:$D$290,Declarations!$F$2:$F$290),"")</f>
        <v>Sam Worrall</v>
      </c>
      <c r="D98" s="23">
        <v>3</v>
      </c>
      <c r="E98" s="2" t="str">
        <f>IF(D98&gt;0,LOOKUP(D98,Constants!$L$2:$L$18,Constants!$M$2:$M$18),"")</f>
        <v>Derby AC</v>
      </c>
      <c r="F98" s="30" t="s">
        <v>227</v>
      </c>
      <c r="H98" s="59">
        <v>5</v>
      </c>
      <c r="I98" s="9">
        <f t="shared" si="19"/>
        <v>0</v>
      </c>
      <c r="J98" s="2">
        <f>IF(I98&gt;0,LOOKUP(I98,Declarations!$D$2:$D$290,Declarations!$F$2:$F$290),"")</f>
      </c>
      <c r="K98" s="23"/>
      <c r="L98" s="2">
        <f>IF(K98&gt;0,LOOKUP(K98,Constants!$L$2:$L$18,Constants!$M$2:$M$18),"")</f>
      </c>
      <c r="M98" s="30"/>
    </row>
    <row r="99" spans="1:13" ht="14.25">
      <c r="A99" s="59">
        <v>6</v>
      </c>
      <c r="B99" s="9">
        <f t="shared" si="18"/>
        <v>631</v>
      </c>
      <c r="C99" s="2" t="str">
        <f>IF(B99&gt;0,LOOKUP(B99,Declarations!$D$2:$D$290,Declarations!$F$2:$F$290),"")</f>
        <v>Martin Vincent</v>
      </c>
      <c r="D99" s="23">
        <v>6</v>
      </c>
      <c r="E99" s="2" t="str">
        <f>IF(D99&gt;0,LOOKUP(D99,Constants!$L$2:$L$18,Constants!$M$2:$M$18),"")</f>
        <v>Rugby &amp; Northampton AC</v>
      </c>
      <c r="F99" s="30" t="s">
        <v>228</v>
      </c>
      <c r="H99" s="59">
        <v>6</v>
      </c>
      <c r="I99" s="9">
        <f t="shared" si="19"/>
        <v>0</v>
      </c>
      <c r="J99" s="2">
        <f>IF(I99&gt;0,LOOKUP(I99,Declarations!$D$2:$D$290,Declarations!$F$2:$F$290),"")</f>
      </c>
      <c r="K99" s="23"/>
      <c r="L99" s="2">
        <f>IF(K99&gt;0,LOOKUP(K99,Constants!$L$2:$L$18,Constants!$M$2:$M$18),"")</f>
      </c>
      <c r="M99" s="86"/>
    </row>
    <row r="100" spans="1:13" ht="14.25">
      <c r="A100" s="59">
        <v>7</v>
      </c>
      <c r="B100" s="9">
        <f t="shared" si="18"/>
        <v>131</v>
      </c>
      <c r="C100" s="2" t="str">
        <f>IF(B100&gt;0,LOOKUP(B100,Declarations!$D$2:$D$290,Declarations!$F$2:$F$290),"")</f>
        <v>Alex Widgery</v>
      </c>
      <c r="D100" s="23">
        <v>1</v>
      </c>
      <c r="E100" s="2" t="str">
        <f>IF(D100&gt;0,LOOKUP(D100,Constants!$L$2:$L$18,Constants!$M$2:$M$18),"")</f>
        <v>Cannock &amp; Staffs AC</v>
      </c>
      <c r="F100" s="30" t="s">
        <v>229</v>
      </c>
      <c r="H100" s="59">
        <v>7</v>
      </c>
      <c r="I100" s="9">
        <f t="shared" si="19"/>
        <v>0</v>
      </c>
      <c r="J100" s="2">
        <f>IF(I100&gt;0,LOOKUP(I100,Declarations!$D$2:$D$290,Declarations!$F$2:$F$290),"")</f>
      </c>
      <c r="K100" s="23"/>
      <c r="L100" s="2">
        <f>IF(K100&gt;0,LOOKUP(K100,Constants!$L$2:$L$18,Constants!$M$2:$M$18),"")</f>
      </c>
      <c r="M100" s="86"/>
    </row>
    <row r="101" spans="1:13" ht="14.25">
      <c r="A101" s="59">
        <v>8</v>
      </c>
      <c r="B101" s="9">
        <f t="shared" si="18"/>
        <v>531</v>
      </c>
      <c r="C101" s="2" t="str">
        <f>IF(B101&gt;0,LOOKUP(B101,Declarations!$D$2:$D$290,Declarations!$F$2:$F$290),"")</f>
        <v>Andy Colman</v>
      </c>
      <c r="D101" s="23">
        <v>5</v>
      </c>
      <c r="E101" s="2" t="str">
        <f>IF(D101&gt;0,LOOKUP(D101,Constants!$L$2:$L$18,Constants!$M$2:$M$18),"")</f>
        <v>Nuneaton Harriers</v>
      </c>
      <c r="F101" s="30" t="s">
        <v>230</v>
      </c>
      <c r="H101" s="59">
        <v>8</v>
      </c>
      <c r="I101" s="9">
        <f t="shared" si="19"/>
        <v>0</v>
      </c>
      <c r="J101" s="2">
        <f>IF(I101&gt;0,LOOKUP(I101,Declarations!$D$2:$D$290,Declarations!$F$2:$F$290),"")</f>
      </c>
      <c r="K101" s="23"/>
      <c r="L101" s="2">
        <f>IF(K101&gt;0,LOOKUP(K101,Constants!$L$2:$L$18,Constants!$M$2:$M$18),"")</f>
      </c>
      <c r="M101" s="30"/>
    </row>
    <row r="103" spans="1:9" ht="14.25">
      <c r="A103" s="25" t="s">
        <v>40</v>
      </c>
      <c r="B103" s="25"/>
      <c r="H103" s="25" t="s">
        <v>40</v>
      </c>
      <c r="I103" s="25"/>
    </row>
    <row r="104" spans="1:13" ht="14.25">
      <c r="A104" s="59">
        <v>1</v>
      </c>
      <c r="B104" s="9">
        <f>IF(D104&gt;0,D104*100+32,0)</f>
        <v>832</v>
      </c>
      <c r="C104" s="2" t="str">
        <f>IF(B104&gt;0,LOOKUP(B104,Declarations!$D$2:$D$290,Declarations!$F$2:$F$290),"")</f>
        <v>Ashley Steventon</v>
      </c>
      <c r="D104" s="23">
        <v>8</v>
      </c>
      <c r="E104" s="2" t="str">
        <f>IF(D104&gt;0,LOOKUP(D104,Constants!$L$2:$L$18,Constants!$M$2:$M$18),"")</f>
        <v>City of Stoke AC</v>
      </c>
      <c r="F104" s="30" t="s">
        <v>239</v>
      </c>
      <c r="G104" s="2" t="s">
        <v>314</v>
      </c>
      <c r="H104" s="59">
        <v>1</v>
      </c>
      <c r="I104" s="9">
        <f>IF(K104&gt;0,K104*100+32,0)</f>
        <v>7732</v>
      </c>
      <c r="J104" s="2" t="str">
        <f>IF(I104&gt;0,LOOKUP(I104,Declarations!$D$2:$D$290,Declarations!$F$2:$F$290),"")</f>
        <v>Daniel Cash</v>
      </c>
      <c r="K104" s="23">
        <v>77</v>
      </c>
      <c r="L104" s="2" t="str">
        <f>IF(K104&gt;0,LOOKUP(K104,Constants!$L$2:$L$18,Constants!$M$2:$M$18),"")</f>
        <v>Tamworth AC</v>
      </c>
      <c r="M104" s="30" t="s">
        <v>241</v>
      </c>
    </row>
    <row r="105" spans="1:13" ht="14.25">
      <c r="A105" s="59">
        <v>2</v>
      </c>
      <c r="B105" s="9">
        <f aca="true" t="shared" si="20" ref="B105:B111">IF(D105&gt;0,D105*100+32,0)</f>
        <v>332</v>
      </c>
      <c r="C105" s="2" t="str">
        <f>IF(B105&gt;0,LOOKUP(B105,Declarations!$D$2:$D$290,Declarations!$F$2:$F$290),"")</f>
        <v>Nathan Roulstone</v>
      </c>
      <c r="D105" s="23">
        <v>3</v>
      </c>
      <c r="E105" s="2" t="str">
        <f>IF(D105&gt;0,LOOKUP(D105,Constants!$L$2:$L$18,Constants!$M$2:$M$18),"")</f>
        <v>Derby AC</v>
      </c>
      <c r="F105" s="30" t="s">
        <v>240</v>
      </c>
      <c r="G105" s="2" t="s">
        <v>315</v>
      </c>
      <c r="H105" s="59">
        <v>2</v>
      </c>
      <c r="I105" s="9">
        <f aca="true" t="shared" si="21" ref="I105:I111">IF(K105&gt;0,K105*100+32,0)</f>
        <v>3332</v>
      </c>
      <c r="J105" s="2" t="str">
        <f>IF(I105&gt;0,LOOKUP(I105,Declarations!$D$2:$D$290,Declarations!$F$2:$F$290),"")</f>
        <v>Jason Roulstone</v>
      </c>
      <c r="K105" s="23">
        <v>33</v>
      </c>
      <c r="L105" s="2" t="str">
        <f>IF(K105&gt;0,LOOKUP(K105,Constants!$L$2:$L$18,Constants!$M$2:$M$18),"")</f>
        <v>Derby AC</v>
      </c>
      <c r="M105" s="30" t="s">
        <v>244</v>
      </c>
    </row>
    <row r="106" spans="1:13" ht="14.25">
      <c r="A106" s="59">
        <v>3</v>
      </c>
      <c r="B106" s="9">
        <f t="shared" si="20"/>
        <v>732</v>
      </c>
      <c r="C106" s="2" t="str">
        <f>IF(B106&gt;0,LOOKUP(B106,Declarations!$D$2:$D$290,Declarations!$F$2:$F$290),"")</f>
        <v>Nathan Woodward</v>
      </c>
      <c r="D106" s="23">
        <v>7</v>
      </c>
      <c r="E106" s="2" t="str">
        <f>IF(D106&gt;0,LOOKUP(D106,Constants!$L$2:$L$18,Constants!$M$2:$M$18),"")</f>
        <v>Tamworth AC</v>
      </c>
      <c r="F106" s="30" t="s">
        <v>241</v>
      </c>
      <c r="H106" s="59">
        <v>3</v>
      </c>
      <c r="I106" s="9">
        <f t="shared" si="21"/>
        <v>8832</v>
      </c>
      <c r="J106" s="2" t="str">
        <f>IF(I106&gt;0,LOOKUP(I106,Declarations!$D$2:$D$290,Declarations!$F$2:$F$290),"")</f>
        <v>Matt Sinclair</v>
      </c>
      <c r="K106" s="23">
        <v>88</v>
      </c>
      <c r="L106" s="2" t="str">
        <f>IF(K106&gt;0,LOOKUP(K106,Constants!$L$2:$L$18,Constants!$M$2:$M$18),"")</f>
        <v>City of Stoke AC</v>
      </c>
      <c r="M106" s="30" t="s">
        <v>245</v>
      </c>
    </row>
    <row r="107" spans="1:13" ht="14.25">
      <c r="A107" s="59">
        <v>4</v>
      </c>
      <c r="B107" s="9">
        <f t="shared" si="20"/>
        <v>632</v>
      </c>
      <c r="C107" s="2" t="str">
        <f>IF(B107&gt;0,LOOKUP(B107,Declarations!$D$2:$D$290,Declarations!$F$2:$F$290),"")</f>
        <v>David Tranter</v>
      </c>
      <c r="D107" s="23">
        <v>6</v>
      </c>
      <c r="E107" s="2" t="str">
        <f>IF(D107&gt;0,LOOKUP(D107,Constants!$L$2:$L$18,Constants!$M$2:$M$18),"")</f>
        <v>Rugby &amp; Northampton AC</v>
      </c>
      <c r="F107" s="30" t="s">
        <v>242</v>
      </c>
      <c r="H107" s="59">
        <v>4</v>
      </c>
      <c r="I107" s="9">
        <f t="shared" si="21"/>
        <v>0</v>
      </c>
      <c r="J107" s="2">
        <f>IF(I107&gt;0,LOOKUP(I107,Declarations!$D$2:$D$290,Declarations!$F$2:$F$290),"")</f>
      </c>
      <c r="K107" s="23"/>
      <c r="L107" s="2">
        <f>IF(K107&gt;0,LOOKUP(K107,Constants!$L$2:$L$18,Constants!$M$2:$M$18),"")</f>
      </c>
      <c r="M107" s="30"/>
    </row>
    <row r="108" spans="1:13" ht="14.25">
      <c r="A108" s="59">
        <v>5</v>
      </c>
      <c r="B108" s="9">
        <f t="shared" si="20"/>
        <v>132</v>
      </c>
      <c r="C108" s="2" t="str">
        <f>IF(B108&gt;0,LOOKUP(B108,Declarations!$D$2:$D$290,Declarations!$F$2:$F$290),"")</f>
        <v>Dan Nash</v>
      </c>
      <c r="D108" s="23">
        <v>1</v>
      </c>
      <c r="E108" s="2" t="str">
        <f>IF(D108&gt;0,LOOKUP(D108,Constants!$L$2:$L$18,Constants!$M$2:$M$18),"")</f>
        <v>Cannock &amp; Staffs AC</v>
      </c>
      <c r="F108" s="30" t="s">
        <v>243</v>
      </c>
      <c r="H108" s="59">
        <v>5</v>
      </c>
      <c r="I108" s="9">
        <f t="shared" si="21"/>
        <v>0</v>
      </c>
      <c r="J108" s="2">
        <f>IF(I108&gt;0,LOOKUP(I108,Declarations!$D$2:$D$290,Declarations!$F$2:$F$290),"")</f>
      </c>
      <c r="K108" s="23"/>
      <c r="L108" s="2">
        <f>IF(K108&gt;0,LOOKUP(K108,Constants!$L$2:$L$18,Constants!$M$2:$M$18),"")</f>
      </c>
      <c r="M108" s="30"/>
    </row>
    <row r="109" spans="1:13" ht="14.25">
      <c r="A109" s="59">
        <v>6</v>
      </c>
      <c r="B109" s="9">
        <f t="shared" si="20"/>
        <v>0</v>
      </c>
      <c r="C109" s="2">
        <f>IF(B109&gt;0,LOOKUP(B109,Declarations!$D$2:$D$290,Declarations!$F$2:$F$290),"")</f>
      </c>
      <c r="D109" s="23"/>
      <c r="E109" s="2">
        <f>IF(D109&gt;0,LOOKUP(D109,Constants!$L$2:$L$18,Constants!$M$2:$M$18),"")</f>
      </c>
      <c r="F109" s="30"/>
      <c r="H109" s="59">
        <v>6</v>
      </c>
      <c r="I109" s="9">
        <f t="shared" si="21"/>
        <v>0</v>
      </c>
      <c r="J109" s="2">
        <f>IF(I109&gt;0,LOOKUP(I109,Declarations!$D$2:$D$290,Declarations!$F$2:$F$290),"")</f>
      </c>
      <c r="K109" s="23"/>
      <c r="L109" s="2">
        <f>IF(K109&gt;0,LOOKUP(K109,Constants!$L$2:$L$18,Constants!$M$2:$M$18),"")</f>
      </c>
      <c r="M109" s="30"/>
    </row>
    <row r="110" spans="1:13" ht="14.25">
      <c r="A110" s="59">
        <v>7</v>
      </c>
      <c r="B110" s="9">
        <f t="shared" si="20"/>
        <v>0</v>
      </c>
      <c r="C110" s="2">
        <f>IF(B110&gt;0,LOOKUP(B110,Declarations!$D$2:$D$290,Declarations!$F$2:$F$290),"")</f>
      </c>
      <c r="D110" s="23"/>
      <c r="E110" s="2">
        <f>IF(D110&gt;0,LOOKUP(D110,Constants!$L$2:$L$18,Constants!$M$2:$M$18),"")</f>
      </c>
      <c r="F110" s="30"/>
      <c r="H110" s="59">
        <v>7</v>
      </c>
      <c r="I110" s="9">
        <f t="shared" si="21"/>
        <v>0</v>
      </c>
      <c r="J110" s="2">
        <f>IF(I110&gt;0,LOOKUP(I110,Declarations!$D$2:$D$290,Declarations!$F$2:$F$290),"")</f>
      </c>
      <c r="K110" s="23"/>
      <c r="L110" s="2">
        <f>IF(K110&gt;0,LOOKUP(K110,Constants!$L$2:$L$18,Constants!$M$2:$M$18),"")</f>
      </c>
      <c r="M110" s="30"/>
    </row>
    <row r="111" spans="1:13" ht="14.25">
      <c r="A111" s="59">
        <v>8</v>
      </c>
      <c r="B111" s="9">
        <f t="shared" si="20"/>
        <v>0</v>
      </c>
      <c r="C111" s="2">
        <f>IF(B111&gt;0,LOOKUP(B111,Declarations!$D$2:$D$290,Declarations!$F$2:$F$290),"")</f>
      </c>
      <c r="D111" s="23"/>
      <c r="E111" s="2">
        <f>IF(D111&gt;0,LOOKUP(D111,Constants!$L$2:$L$18,Constants!$M$2:$M$18),"")</f>
      </c>
      <c r="F111" s="30"/>
      <c r="H111" s="59">
        <v>8</v>
      </c>
      <c r="I111" s="9">
        <f t="shared" si="21"/>
        <v>0</v>
      </c>
      <c r="J111" s="2">
        <f>IF(I111&gt;0,LOOKUP(I111,Declarations!$D$2:$D$290,Declarations!$F$2:$F$290),"")</f>
      </c>
      <c r="K111" s="23"/>
      <c r="L111" s="2">
        <f>IF(K111&gt;0,LOOKUP(K111,Constants!$L$2:$L$18,Constants!$M$2:$M$18),"")</f>
      </c>
      <c r="M111" s="30"/>
    </row>
    <row r="113" spans="1:9" ht="14.25">
      <c r="A113" s="25" t="s">
        <v>42</v>
      </c>
      <c r="B113" s="25"/>
      <c r="H113" s="25" t="s">
        <v>42</v>
      </c>
      <c r="I113" s="25"/>
    </row>
    <row r="114" spans="1:13" ht="14.25">
      <c r="A114" s="59">
        <v>1</v>
      </c>
      <c r="B114" s="9">
        <f>IF(D114&gt;0,D114*100+33,0)</f>
        <v>233</v>
      </c>
      <c r="C114" s="2" t="str">
        <f>IF(B114&gt;0,LOOKUP(B114,Declarations!$D$2:$D$290,Declarations!$F$2:$F$290),"")</f>
        <v>Jamie Blundell</v>
      </c>
      <c r="D114" s="23">
        <v>2</v>
      </c>
      <c r="E114" s="2" t="str">
        <f>IF(D114&gt;0,LOOKUP(D114,Constants!$L$2:$L$18,Constants!$M$2:$M$18),"")</f>
        <v>Coventry Godiva Harriers &amp; Sphinx AC</v>
      </c>
      <c r="F114" s="30" t="s">
        <v>316</v>
      </c>
      <c r="G114" s="2" t="s">
        <v>315</v>
      </c>
      <c r="H114" s="59">
        <v>1</v>
      </c>
      <c r="I114" s="9">
        <f>IF(K114&gt;0,K114*100+33,0)</f>
        <v>2233</v>
      </c>
      <c r="J114" s="2" t="str">
        <f>IF(I114&gt;0,LOOKUP(I114,Declarations!$D$2:$D$290,Declarations!$F$2:$F$290),"")</f>
        <v>Nathan Blundell</v>
      </c>
      <c r="K114" s="23">
        <v>22</v>
      </c>
      <c r="L114" s="2" t="str">
        <f>IF(K114&gt;0,LOOKUP(K114,Constants!$L$2:$L$18,Constants!$M$2:$M$18),"")</f>
        <v>Coventry Godiva Harriers &amp; Sphinx AC</v>
      </c>
      <c r="M114" s="30" t="s">
        <v>320</v>
      </c>
    </row>
    <row r="115" spans="1:13" ht="14.25">
      <c r="A115" s="59">
        <v>2</v>
      </c>
      <c r="B115" s="9">
        <f aca="true" t="shared" si="22" ref="B115:B121">IF(D115&gt;0,D115*100+33,0)</f>
        <v>833</v>
      </c>
      <c r="C115" s="2" t="str">
        <f>IF(B115&gt;0,LOOKUP(B115,Declarations!$D$2:$D$290,Declarations!$F$2:$F$290),"")</f>
        <v>Ashley Wilson</v>
      </c>
      <c r="D115" s="23">
        <v>8</v>
      </c>
      <c r="E115" s="2" t="str">
        <f>IF(D115&gt;0,LOOKUP(D115,Constants!$L$2:$L$18,Constants!$M$2:$M$18),"")</f>
        <v>City of Stoke AC</v>
      </c>
      <c r="F115" s="30" t="s">
        <v>317</v>
      </c>
      <c r="H115" s="59">
        <v>2</v>
      </c>
      <c r="I115" s="9">
        <f aca="true" t="shared" si="23" ref="I115:I121">IF(K115&gt;0,K115*100+33,0)</f>
        <v>8833</v>
      </c>
      <c r="J115" s="2" t="str">
        <f>IF(I115&gt;0,LOOKUP(I115,Declarations!$D$2:$D$290,Declarations!$F$2:$F$290),"")</f>
        <v>Ashley Steventon</v>
      </c>
      <c r="K115" s="23">
        <v>88</v>
      </c>
      <c r="L115" s="2" t="str">
        <f>IF(K115&gt;0,LOOKUP(K115,Constants!$L$2:$L$18,Constants!$M$2:$M$18),"")</f>
        <v>City of Stoke AC</v>
      </c>
      <c r="M115" s="30" t="s">
        <v>321</v>
      </c>
    </row>
    <row r="116" spans="1:13" ht="14.25">
      <c r="A116" s="59">
        <v>3</v>
      </c>
      <c r="B116" s="9">
        <f t="shared" si="22"/>
        <v>733</v>
      </c>
      <c r="C116" s="2" t="str">
        <f>IF(B116&gt;0,LOOKUP(B116,Declarations!$D$2:$D$290,Declarations!$F$2:$F$290),"")</f>
        <v>Adam Smith</v>
      </c>
      <c r="D116" s="23">
        <v>7</v>
      </c>
      <c r="E116" s="2" t="str">
        <f>IF(D116&gt;0,LOOKUP(D116,Constants!$L$2:$L$18,Constants!$M$2:$M$18),"")</f>
        <v>Tamworth AC</v>
      </c>
      <c r="F116" s="30" t="s">
        <v>318</v>
      </c>
      <c r="H116" s="59">
        <v>3</v>
      </c>
      <c r="I116" s="9">
        <f t="shared" si="23"/>
        <v>7733</v>
      </c>
      <c r="J116" s="2" t="str">
        <f>IF(I116&gt;0,LOOKUP(I116,Declarations!$D$2:$D$290,Declarations!$F$2:$F$290),"")</f>
        <v>Nick Crawford</v>
      </c>
      <c r="K116" s="23">
        <v>77</v>
      </c>
      <c r="L116" s="2" t="str">
        <f>IF(K116&gt;0,LOOKUP(K116,Constants!$L$2:$L$18,Constants!$M$2:$M$18),"")</f>
        <v>Tamworth AC</v>
      </c>
      <c r="M116" s="30" t="s">
        <v>322</v>
      </c>
    </row>
    <row r="117" spans="1:13" ht="14.25">
      <c r="A117" s="59">
        <v>4</v>
      </c>
      <c r="B117" s="9">
        <f t="shared" si="22"/>
        <v>533</v>
      </c>
      <c r="C117" s="2" t="str">
        <f>IF(B117&gt;0,LOOKUP(B117,Declarations!$D$2:$D$290,Declarations!$F$2:$F$290),"")</f>
        <v>Callum Clarke</v>
      </c>
      <c r="D117" s="23">
        <v>5</v>
      </c>
      <c r="E117" s="2" t="str">
        <f>IF(D117&gt;0,LOOKUP(D117,Constants!$L$2:$L$18,Constants!$M$2:$M$18),"")</f>
        <v>Nuneaton Harriers</v>
      </c>
      <c r="F117" s="30" t="s">
        <v>319</v>
      </c>
      <c r="H117" s="59">
        <v>4</v>
      </c>
      <c r="I117" s="9">
        <f t="shared" si="23"/>
        <v>0</v>
      </c>
      <c r="J117" s="2">
        <f>IF(I117&gt;0,LOOKUP(I117,Declarations!$D$2:$D$290,Declarations!$F$2:$F$290),"")</f>
      </c>
      <c r="K117" s="23"/>
      <c r="L117" s="2">
        <f>IF(K117&gt;0,LOOKUP(K117,Constants!$L$2:$L$18,Constants!$M$2:$M$18),"")</f>
      </c>
      <c r="M117" s="30"/>
    </row>
    <row r="118" spans="1:13" ht="14.25">
      <c r="A118" s="59">
        <v>5</v>
      </c>
      <c r="B118" s="9">
        <f t="shared" si="22"/>
        <v>0</v>
      </c>
      <c r="C118" s="2">
        <f>IF(B118&gt;0,LOOKUP(B118,Declarations!$D$2:$D$290,Declarations!$F$2:$F$290),"")</f>
      </c>
      <c r="D118" s="23"/>
      <c r="E118" s="2">
        <f>IF(D118&gt;0,LOOKUP(D118,Constants!$L$2:$L$18,Constants!$M$2:$M$18),"")</f>
      </c>
      <c r="F118" s="30"/>
      <c r="H118" s="59">
        <v>5</v>
      </c>
      <c r="I118" s="9">
        <f t="shared" si="23"/>
        <v>0</v>
      </c>
      <c r="J118" s="2">
        <f>IF(I118&gt;0,LOOKUP(I118,Declarations!$D$2:$D$290,Declarations!$F$2:$F$290),"")</f>
      </c>
      <c r="K118" s="23"/>
      <c r="L118" s="2">
        <f>IF(K118&gt;0,LOOKUP(K118,Constants!$L$2:$L$18,Constants!$M$2:$M$18),"")</f>
      </c>
      <c r="M118" s="30"/>
    </row>
    <row r="119" spans="1:13" ht="14.25">
      <c r="A119" s="59">
        <v>6</v>
      </c>
      <c r="B119" s="9">
        <f t="shared" si="22"/>
        <v>0</v>
      </c>
      <c r="C119" s="2">
        <f>IF(B119&gt;0,LOOKUP(B119,Declarations!$D$2:$D$290,Declarations!$F$2:$F$290),"")</f>
      </c>
      <c r="D119" s="23"/>
      <c r="E119" s="2">
        <f>IF(D119&gt;0,LOOKUP(D119,Constants!$L$2:$L$18,Constants!$M$2:$M$18),"")</f>
      </c>
      <c r="F119" s="30"/>
      <c r="H119" s="59">
        <v>6</v>
      </c>
      <c r="I119" s="9">
        <f t="shared" si="23"/>
        <v>0</v>
      </c>
      <c r="J119" s="2">
        <f>IF(I119&gt;0,LOOKUP(I119,Declarations!$D$2:$D$290,Declarations!$F$2:$F$290),"")</f>
      </c>
      <c r="K119" s="23"/>
      <c r="L119" s="2">
        <f>IF(K119&gt;0,LOOKUP(K119,Constants!$L$2:$L$18,Constants!$M$2:$M$18),"")</f>
      </c>
      <c r="M119" s="30"/>
    </row>
    <row r="120" spans="1:13" ht="14.25">
      <c r="A120" s="59">
        <v>7</v>
      </c>
      <c r="B120" s="9">
        <f t="shared" si="22"/>
        <v>0</v>
      </c>
      <c r="C120" s="2">
        <f>IF(B120&gt;0,LOOKUP(B120,Declarations!$D$2:$D$290,Declarations!$F$2:$F$290),"")</f>
      </c>
      <c r="D120" s="23"/>
      <c r="E120" s="2">
        <f>IF(D120&gt;0,LOOKUP(D120,Constants!$L$2:$L$18,Constants!$M$2:$M$18),"")</f>
      </c>
      <c r="F120" s="30"/>
      <c r="H120" s="59">
        <v>7</v>
      </c>
      <c r="I120" s="9">
        <f t="shared" si="23"/>
        <v>0</v>
      </c>
      <c r="J120" s="2">
        <f>IF(I120&gt;0,LOOKUP(I120,Declarations!$D$2:$D$290,Declarations!$F$2:$F$290),"")</f>
      </c>
      <c r="K120" s="23"/>
      <c r="L120" s="2">
        <f>IF(K120&gt;0,LOOKUP(K120,Constants!$L$2:$L$18,Constants!$M$2:$M$18),"")</f>
      </c>
      <c r="M120" s="30"/>
    </row>
    <row r="121" spans="1:13" ht="14.25">
      <c r="A121" s="59">
        <v>8</v>
      </c>
      <c r="B121" s="9">
        <f t="shared" si="22"/>
        <v>0</v>
      </c>
      <c r="C121" s="2">
        <f>IF(B121&gt;0,LOOKUP(B121,Declarations!$D$2:$D$290,Declarations!$F$2:$F$290),"")</f>
      </c>
      <c r="D121" s="23"/>
      <c r="E121" s="2">
        <f>IF(D121&gt;0,LOOKUP(D121,Constants!$L$2:$L$18,Constants!$M$2:$M$18),"")</f>
      </c>
      <c r="F121" s="30"/>
      <c r="H121" s="59">
        <v>8</v>
      </c>
      <c r="I121" s="9">
        <f t="shared" si="23"/>
        <v>0</v>
      </c>
      <c r="J121" s="2">
        <f>IF(I121&gt;0,LOOKUP(I121,Declarations!$D$2:$D$290,Declarations!$F$2:$F$290),"")</f>
      </c>
      <c r="K121" s="23"/>
      <c r="L121" s="2">
        <f>IF(K121&gt;0,LOOKUP(K121,Constants!$L$2:$L$18,Constants!$M$2:$M$18),"")</f>
      </c>
      <c r="M121" s="30"/>
    </row>
    <row r="123" spans="1:9" ht="14.25">
      <c r="A123" s="25" t="s">
        <v>41</v>
      </c>
      <c r="B123" s="25"/>
      <c r="H123" s="25" t="s">
        <v>41</v>
      </c>
      <c r="I123" s="25"/>
    </row>
    <row r="124" spans="1:13" ht="14.25">
      <c r="A124" s="59">
        <v>1</v>
      </c>
      <c r="B124" s="9">
        <f>IF(D124&gt;0,D124*100+34,0)</f>
        <v>634</v>
      </c>
      <c r="C124" s="2" t="str">
        <f>IF(B124&gt;0,LOOKUP(B124,Declarations!$D$2:$D$290,Declarations!$F$2:$F$290),"")</f>
        <v>Martin Vincent</v>
      </c>
      <c r="D124" s="23">
        <v>6</v>
      </c>
      <c r="E124" s="2" t="str">
        <f>IF(D124&gt;0,LOOKUP(D124,Constants!$L$2:$L$18,Constants!$M$2:$M$18),"")</f>
        <v>Rugby &amp; Northampton AC</v>
      </c>
      <c r="F124" s="30" t="s">
        <v>297</v>
      </c>
      <c r="G124" s="2" t="s">
        <v>314</v>
      </c>
      <c r="H124" s="59">
        <v>1</v>
      </c>
      <c r="I124" s="9">
        <f>IF(K124&gt;0,K124*100+34,0)</f>
        <v>6634</v>
      </c>
      <c r="J124" s="2" t="str">
        <f>IF(I124&gt;0,LOOKUP(I124,Declarations!$D$2:$D$290,Declarations!$F$2:$F$290),"")</f>
        <v>Paul Stone</v>
      </c>
      <c r="K124" s="23">
        <v>66</v>
      </c>
      <c r="L124" s="2" t="str">
        <f>IF(K124&gt;0,LOOKUP(K124,Constants!$L$2:$L$18,Constants!$M$2:$M$18),"")</f>
        <v>Rugby &amp; Northampton AC</v>
      </c>
      <c r="M124" s="30" t="s">
        <v>298</v>
      </c>
    </row>
    <row r="125" spans="1:13" ht="14.25">
      <c r="A125" s="59">
        <v>2</v>
      </c>
      <c r="B125" s="9">
        <f aca="true" t="shared" si="24" ref="B125:B131">IF(D125&gt;0,D125*100+34,0)</f>
        <v>0</v>
      </c>
      <c r="C125" s="2">
        <f>IF(B125&gt;0,LOOKUP(B125,Declarations!$D$2:$D$290,Declarations!$F$2:$F$290),"")</f>
      </c>
      <c r="D125" s="23"/>
      <c r="E125" s="2">
        <f>IF(D125&gt;0,LOOKUP(D125,Constants!$L$2:$L$18,Constants!$M$2:$M$18),"")</f>
      </c>
      <c r="F125" s="30"/>
      <c r="H125" s="59">
        <v>2</v>
      </c>
      <c r="I125" s="9">
        <f aca="true" t="shared" si="25" ref="I125:I131">IF(K125&gt;0,K125*100+34,0)</f>
        <v>0</v>
      </c>
      <c r="J125" s="2">
        <f>IF(I125&gt;0,LOOKUP(I125,Declarations!$D$2:$D$290,Declarations!$F$2:$F$290),"")</f>
      </c>
      <c r="K125" s="23"/>
      <c r="L125" s="2">
        <f>IF(K125&gt;0,LOOKUP(K125,Constants!$L$2:$L$18,Constants!$M$2:$M$18),"")</f>
      </c>
      <c r="M125" s="30"/>
    </row>
    <row r="126" spans="1:13" ht="14.25">
      <c r="A126" s="59">
        <v>3</v>
      </c>
      <c r="B126" s="9">
        <f t="shared" si="24"/>
        <v>0</v>
      </c>
      <c r="C126" s="2">
        <f>IF(B126&gt;0,LOOKUP(B126,Declarations!$D$2:$D$290,Declarations!$F$2:$F$290),"")</f>
      </c>
      <c r="D126" s="23"/>
      <c r="E126" s="2">
        <f>IF(D126&gt;0,LOOKUP(D126,Constants!$L$2:$L$18,Constants!$M$2:$M$18),"")</f>
      </c>
      <c r="F126" s="30"/>
      <c r="H126" s="59">
        <v>3</v>
      </c>
      <c r="I126" s="9">
        <f t="shared" si="25"/>
        <v>0</v>
      </c>
      <c r="J126" s="2">
        <f>IF(I126&gt;0,LOOKUP(I126,Declarations!$D$2:$D$290,Declarations!$F$2:$F$290),"")</f>
      </c>
      <c r="K126" s="23"/>
      <c r="L126" s="2">
        <f>IF(K126&gt;0,LOOKUP(K126,Constants!$L$2:$L$18,Constants!$M$2:$M$18),"")</f>
      </c>
      <c r="M126" s="30"/>
    </row>
    <row r="127" spans="1:13" ht="14.25">
      <c r="A127" s="59">
        <v>4</v>
      </c>
      <c r="B127" s="9">
        <f t="shared" si="24"/>
        <v>0</v>
      </c>
      <c r="C127" s="2">
        <f>IF(B127&gt;0,LOOKUP(B127,Declarations!$D$2:$D$290,Declarations!$F$2:$F$290),"")</f>
      </c>
      <c r="D127" s="23"/>
      <c r="E127" s="2">
        <f>IF(D127&gt;0,LOOKUP(D127,Constants!$L$2:$L$18,Constants!$M$2:$M$18),"")</f>
      </c>
      <c r="F127" s="30"/>
      <c r="H127" s="59">
        <v>4</v>
      </c>
      <c r="I127" s="9">
        <f t="shared" si="25"/>
        <v>0</v>
      </c>
      <c r="J127" s="2">
        <f>IF(I127&gt;0,LOOKUP(I127,Declarations!$D$2:$D$290,Declarations!$F$2:$F$290),"")</f>
      </c>
      <c r="K127" s="23"/>
      <c r="L127" s="2">
        <f>IF(K127&gt;0,LOOKUP(K127,Constants!$L$2:$L$18,Constants!$M$2:$M$18),"")</f>
      </c>
      <c r="M127" s="30"/>
    </row>
    <row r="128" spans="1:13" ht="14.25">
      <c r="A128" s="59">
        <v>5</v>
      </c>
      <c r="B128" s="9">
        <f t="shared" si="24"/>
        <v>0</v>
      </c>
      <c r="C128" s="2">
        <f>IF(B128&gt;0,LOOKUP(B128,Declarations!$D$2:$D$290,Declarations!$F$2:$F$290),"")</f>
      </c>
      <c r="D128" s="23"/>
      <c r="E128" s="2">
        <f>IF(D128&gt;0,LOOKUP(D128,Constants!$L$2:$L$18,Constants!$M$2:$M$18),"")</f>
      </c>
      <c r="F128" s="30"/>
      <c r="H128" s="59">
        <v>5</v>
      </c>
      <c r="I128" s="9">
        <f t="shared" si="25"/>
        <v>0</v>
      </c>
      <c r="J128" s="2">
        <f>IF(I128&gt;0,LOOKUP(I128,Declarations!$D$2:$D$290,Declarations!$F$2:$F$290),"")</f>
      </c>
      <c r="K128" s="23"/>
      <c r="L128" s="2">
        <f>IF(K128&gt;0,LOOKUP(K128,Constants!$L$2:$L$18,Constants!$M$2:$M$18),"")</f>
      </c>
      <c r="M128" s="30"/>
    </row>
    <row r="129" spans="1:13" ht="14.25">
      <c r="A129" s="59">
        <v>6</v>
      </c>
      <c r="B129" s="9">
        <f t="shared" si="24"/>
        <v>0</v>
      </c>
      <c r="C129" s="2">
        <f>IF(B129&gt;0,LOOKUP(B129,Declarations!$D$2:$D$290,Declarations!$F$2:$F$290),"")</f>
      </c>
      <c r="D129" s="23"/>
      <c r="E129" s="2">
        <f>IF(D129&gt;0,LOOKUP(D129,Constants!$L$2:$L$18,Constants!$M$2:$M$18),"")</f>
      </c>
      <c r="F129" s="30"/>
      <c r="H129" s="59">
        <v>6</v>
      </c>
      <c r="I129" s="9">
        <f t="shared" si="25"/>
        <v>0</v>
      </c>
      <c r="J129" s="2">
        <f>IF(I129&gt;0,LOOKUP(I129,Declarations!$D$2:$D$290,Declarations!$F$2:$F$290),"")</f>
      </c>
      <c r="K129" s="23"/>
      <c r="L129" s="2">
        <f>IF(K129&gt;0,LOOKUP(K129,Constants!$L$2:$L$18,Constants!$M$2:$M$18),"")</f>
      </c>
      <c r="M129" s="30"/>
    </row>
    <row r="130" spans="1:13" ht="14.25">
      <c r="A130" s="59">
        <v>7</v>
      </c>
      <c r="B130" s="9">
        <f t="shared" si="24"/>
        <v>0</v>
      </c>
      <c r="C130" s="2">
        <f>IF(B130&gt;0,LOOKUP(B130,Declarations!$D$2:$D$290,Declarations!$F$2:$F$290),"")</f>
      </c>
      <c r="D130" s="23"/>
      <c r="E130" s="2">
        <f>IF(D130&gt;0,LOOKUP(D130,Constants!$L$2:$L$18,Constants!$M$2:$M$18),"")</f>
      </c>
      <c r="F130" s="30"/>
      <c r="H130" s="59">
        <v>7</v>
      </c>
      <c r="I130" s="9">
        <f t="shared" si="25"/>
        <v>0</v>
      </c>
      <c r="J130" s="2">
        <f>IF(I130&gt;0,LOOKUP(I130,Declarations!$D$2:$D$290,Declarations!$F$2:$F$290),"")</f>
      </c>
      <c r="K130" s="23"/>
      <c r="L130" s="2">
        <f>IF(K130&gt;0,LOOKUP(K130,Constants!$L$2:$L$18,Constants!$M$2:$M$18),"")</f>
      </c>
      <c r="M130" s="30"/>
    </row>
    <row r="131" spans="1:13" ht="14.25">
      <c r="A131" s="59">
        <v>8</v>
      </c>
      <c r="B131" s="9">
        <f t="shared" si="24"/>
        <v>0</v>
      </c>
      <c r="C131" s="2">
        <f>IF(B131&gt;0,LOOKUP(B131,Declarations!$D$2:$D$290,Declarations!$F$2:$F$290),"")</f>
      </c>
      <c r="D131" s="23"/>
      <c r="E131" s="2">
        <f>IF(D131&gt;0,LOOKUP(D131,Constants!$L$2:$L$18,Constants!$M$2:$M$18),"")</f>
      </c>
      <c r="F131" s="30"/>
      <c r="H131" s="59">
        <v>8</v>
      </c>
      <c r="I131" s="9">
        <f t="shared" si="25"/>
        <v>0</v>
      </c>
      <c r="J131" s="2">
        <f>IF(I131&gt;0,LOOKUP(I131,Declarations!$D$2:$D$290,Declarations!$F$2:$F$290),"")</f>
      </c>
      <c r="K131" s="23"/>
      <c r="L131" s="2">
        <f>IF(K131&gt;0,LOOKUP(K131,Constants!$L$2:$L$18,Constants!$M$2:$M$18),"")</f>
      </c>
      <c r="M131" s="30"/>
    </row>
    <row r="132" spans="1:9" ht="14.25">
      <c r="A132" s="25"/>
      <c r="B132" s="25"/>
      <c r="H132" s="25"/>
      <c r="I132" s="25"/>
    </row>
    <row r="133" spans="1:9" ht="14.25">
      <c r="A133" s="25" t="s">
        <v>43</v>
      </c>
      <c r="B133" s="25"/>
      <c r="H133" s="25" t="s">
        <v>43</v>
      </c>
      <c r="I133" s="25"/>
    </row>
    <row r="134" spans="1:14" ht="14.25">
      <c r="A134" s="59">
        <v>1</v>
      </c>
      <c r="B134" s="9">
        <f>IF(D134&gt;0,D134*100+35,0)</f>
        <v>635</v>
      </c>
      <c r="C134" s="2" t="str">
        <f>IF(B134&gt;0,LOOKUP(B134,Declarations!$D$2:$D$290,Declarations!$F$2:$F$290),"")</f>
        <v>Luke Hyland</v>
      </c>
      <c r="D134" s="23">
        <v>6</v>
      </c>
      <c r="E134" s="2" t="str">
        <f>IF(D134&gt;0,LOOKUP(D134,Constants!$L$2:$L$18,Constants!$M$2:$M$18),"")</f>
        <v>Rugby &amp; Northampton AC</v>
      </c>
      <c r="F134" s="30" t="s">
        <v>216</v>
      </c>
      <c r="G134" s="2" t="s">
        <v>315</v>
      </c>
      <c r="H134" s="59">
        <v>1</v>
      </c>
      <c r="I134" s="9">
        <f>IF(K134&gt;0,K134*100+35,0)</f>
        <v>7735</v>
      </c>
      <c r="J134" s="2" t="str">
        <f>IF(I134&gt;0,LOOKUP(I134,Declarations!$D$2:$D$290,Declarations!$F$2:$F$290),"")</f>
        <v>David Levett</v>
      </c>
      <c r="K134" s="23">
        <v>77</v>
      </c>
      <c r="L134" s="2" t="str">
        <f>IF(K134&gt;0,LOOKUP(K134,Constants!$L$2:$L$18,Constants!$M$2:$M$18),"")</f>
        <v>Tamworth AC</v>
      </c>
      <c r="M134" s="30" t="s">
        <v>221</v>
      </c>
      <c r="N134" s="2" t="s">
        <v>315</v>
      </c>
    </row>
    <row r="135" spans="1:13" ht="14.25">
      <c r="A135" s="59">
        <v>2</v>
      </c>
      <c r="B135" s="9">
        <f aca="true" t="shared" si="26" ref="B135:B141">IF(D135&gt;0,D135*100+35,0)</f>
        <v>735</v>
      </c>
      <c r="C135" s="2" t="str">
        <f>IF(B135&gt;0,LOOKUP(B135,Declarations!$D$2:$D$290,Declarations!$F$2:$F$290),"")</f>
        <v>Alex Berrow</v>
      </c>
      <c r="D135" s="23">
        <v>7</v>
      </c>
      <c r="E135" s="2" t="str">
        <f>IF(D135&gt;0,LOOKUP(D135,Constants!$L$2:$L$18,Constants!$M$2:$M$18),"")</f>
        <v>Tamworth AC</v>
      </c>
      <c r="F135" s="30" t="s">
        <v>217</v>
      </c>
      <c r="G135" s="2" t="s">
        <v>315</v>
      </c>
      <c r="H135" s="59">
        <v>2</v>
      </c>
      <c r="I135" s="9">
        <f aca="true" t="shared" si="27" ref="I135:I141">IF(K135&gt;0,K135*100+35,0)</f>
        <v>8835</v>
      </c>
      <c r="J135" s="2" t="str">
        <f>IF(I135&gt;0,LOOKUP(I135,Declarations!$D$2:$D$290,Declarations!$F$2:$F$290),"")</f>
        <v>Jack Bibby</v>
      </c>
      <c r="K135" s="23">
        <v>88</v>
      </c>
      <c r="L135" s="2" t="str">
        <f>IF(K135&gt;0,LOOKUP(K135,Constants!$L$2:$L$18,Constants!$M$2:$M$18),"")</f>
        <v>City of Stoke AC</v>
      </c>
      <c r="M135" s="30" t="s">
        <v>222</v>
      </c>
    </row>
    <row r="136" spans="1:13" ht="14.25">
      <c r="A136" s="59">
        <v>3</v>
      </c>
      <c r="B136" s="9">
        <f t="shared" si="26"/>
        <v>835</v>
      </c>
      <c r="C136" s="2" t="str">
        <f>IF(B136&gt;0,LOOKUP(B136,Declarations!$D$2:$D$290,Declarations!$F$2:$F$290),"")</f>
        <v>Tom Dohnal</v>
      </c>
      <c r="D136" s="23">
        <v>8</v>
      </c>
      <c r="E136" s="2" t="str">
        <f>IF(D136&gt;0,LOOKUP(D136,Constants!$L$2:$L$18,Constants!$M$2:$M$18),"")</f>
        <v>City of Stoke AC</v>
      </c>
      <c r="F136" s="30" t="s">
        <v>218</v>
      </c>
      <c r="G136" s="2" t="s">
        <v>315</v>
      </c>
      <c r="H136" s="59">
        <v>3</v>
      </c>
      <c r="I136" s="9">
        <f t="shared" si="27"/>
        <v>0</v>
      </c>
      <c r="J136" s="2">
        <f>IF(I136&gt;0,LOOKUP(I136,Declarations!$D$2:$D$290,Declarations!$F$2:$F$290),"")</f>
      </c>
      <c r="K136" s="23"/>
      <c r="L136" s="2">
        <f>IF(K136&gt;0,LOOKUP(K136,Constants!$L$2:$L$18,Constants!$M$2:$M$18),"")</f>
      </c>
      <c r="M136" s="30"/>
    </row>
    <row r="137" spans="1:13" ht="14.25">
      <c r="A137" s="59">
        <v>4</v>
      </c>
      <c r="B137" s="9">
        <f t="shared" si="26"/>
        <v>335</v>
      </c>
      <c r="C137" s="2" t="str">
        <f>IF(B137&gt;0,LOOKUP(B137,Declarations!$D$2:$D$290,Declarations!$F$2:$F$290),"")</f>
        <v>Duncan Hawksworth</v>
      </c>
      <c r="D137" s="23">
        <v>3</v>
      </c>
      <c r="E137" s="2" t="str">
        <f>IF(D137&gt;0,LOOKUP(D137,Constants!$L$2:$L$18,Constants!$M$2:$M$18),"")</f>
        <v>Derby AC</v>
      </c>
      <c r="F137" s="30" t="s">
        <v>219</v>
      </c>
      <c r="H137" s="59">
        <v>4</v>
      </c>
      <c r="I137" s="9">
        <f t="shared" si="27"/>
        <v>0</v>
      </c>
      <c r="J137" s="2">
        <f>IF(I137&gt;0,LOOKUP(I137,Declarations!$D$2:$D$290,Declarations!$F$2:$F$290),"")</f>
      </c>
      <c r="K137" s="23"/>
      <c r="L137" s="2">
        <f>IF(K137&gt;0,LOOKUP(K137,Constants!$L$2:$L$18,Constants!$M$2:$M$18),"")</f>
      </c>
      <c r="M137" s="30"/>
    </row>
    <row r="138" spans="1:13" ht="14.25">
      <c r="A138" s="59">
        <v>5</v>
      </c>
      <c r="B138" s="9">
        <f t="shared" si="26"/>
        <v>135</v>
      </c>
      <c r="C138" s="2" t="str">
        <f>IF(B138&gt;0,LOOKUP(B138,Declarations!$D$2:$D$290,Declarations!$F$2:$F$290),"")</f>
        <v>Richard Parker</v>
      </c>
      <c r="D138" s="23">
        <v>1</v>
      </c>
      <c r="E138" s="2" t="str">
        <f>IF(D138&gt;0,LOOKUP(D138,Constants!$L$2:$L$18,Constants!$M$2:$M$18),"")</f>
        <v>Cannock &amp; Staffs AC</v>
      </c>
      <c r="F138" s="30" t="s">
        <v>220</v>
      </c>
      <c r="H138" s="59">
        <v>5</v>
      </c>
      <c r="I138" s="9">
        <f t="shared" si="27"/>
        <v>0</v>
      </c>
      <c r="J138" s="2">
        <f>IF(I138&gt;0,LOOKUP(I138,Declarations!$D$2:$D$290,Declarations!$F$2:$F$290),"")</f>
      </c>
      <c r="K138" s="23"/>
      <c r="L138" s="2">
        <f>IF(K138&gt;0,LOOKUP(K138,Constants!$L$2:$L$18,Constants!$M$2:$M$18),"")</f>
      </c>
      <c r="M138" s="30"/>
    </row>
    <row r="139" spans="1:13" ht="14.25">
      <c r="A139" s="59">
        <v>6</v>
      </c>
      <c r="B139" s="9">
        <f t="shared" si="26"/>
        <v>0</v>
      </c>
      <c r="C139" s="2">
        <f>IF(B139&gt;0,LOOKUP(B139,Declarations!$D$2:$D$290,Declarations!$F$2:$F$290),"")</f>
      </c>
      <c r="D139" s="23"/>
      <c r="E139" s="2">
        <f>IF(D139&gt;0,LOOKUP(D139,Constants!$L$2:$L$18,Constants!$M$2:$M$18),"")</f>
      </c>
      <c r="F139" s="30"/>
      <c r="H139" s="59">
        <v>6</v>
      </c>
      <c r="I139" s="9">
        <f t="shared" si="27"/>
        <v>0</v>
      </c>
      <c r="J139" s="2">
        <f>IF(I139&gt;0,LOOKUP(I139,Declarations!$D$2:$D$290,Declarations!$F$2:$F$290),"")</f>
      </c>
      <c r="K139" s="23"/>
      <c r="L139" s="2">
        <f>IF(K139&gt;0,LOOKUP(K139,Constants!$L$2:$L$18,Constants!$M$2:$M$18),"")</f>
      </c>
      <c r="M139" s="30"/>
    </row>
    <row r="140" spans="1:13" ht="14.25">
      <c r="A140" s="59">
        <v>7</v>
      </c>
      <c r="B140" s="9">
        <f t="shared" si="26"/>
        <v>0</v>
      </c>
      <c r="C140" s="2">
        <f>IF(B140&gt;0,LOOKUP(B140,Declarations!$D$2:$D$290,Declarations!$F$2:$F$290),"")</f>
      </c>
      <c r="D140" s="23"/>
      <c r="E140" s="2">
        <f>IF(D140&gt;0,LOOKUP(D140,Constants!$L$2:$L$18,Constants!$M$2:$M$18),"")</f>
      </c>
      <c r="F140" s="30"/>
      <c r="H140" s="59">
        <v>7</v>
      </c>
      <c r="I140" s="9">
        <f t="shared" si="27"/>
        <v>0</v>
      </c>
      <c r="J140" s="2">
        <f>IF(I140&gt;0,LOOKUP(I140,Declarations!$D$2:$D$290,Declarations!$F$2:$F$290),"")</f>
      </c>
      <c r="K140" s="23"/>
      <c r="L140" s="2">
        <f>IF(K140&gt;0,LOOKUP(K140,Constants!$L$2:$L$18,Constants!$M$2:$M$18),"")</f>
      </c>
      <c r="M140" s="30"/>
    </row>
    <row r="141" spans="1:13" ht="14.25">
      <c r="A141" s="59">
        <v>8</v>
      </c>
      <c r="B141" s="9">
        <f t="shared" si="26"/>
        <v>0</v>
      </c>
      <c r="C141" s="2">
        <f>IF(B141&gt;0,LOOKUP(B141,Declarations!$D$2:$D$290,Declarations!$F$2:$F$290),"")</f>
      </c>
      <c r="D141" s="23"/>
      <c r="E141" s="2">
        <f>IF(D141&gt;0,LOOKUP(D141,Constants!$L$2:$L$18,Constants!$M$2:$M$18),"")</f>
      </c>
      <c r="F141" s="30"/>
      <c r="H141" s="59">
        <v>8</v>
      </c>
      <c r="I141" s="9">
        <f t="shared" si="27"/>
        <v>0</v>
      </c>
      <c r="J141" s="2">
        <f>IF(I141&gt;0,LOOKUP(I141,Declarations!$D$2:$D$290,Declarations!$F$2:$F$290),"")</f>
      </c>
      <c r="K141" s="23"/>
      <c r="L141" s="2">
        <f>IF(K141&gt;0,LOOKUP(K141,Constants!$L$2:$L$18,Constants!$M$2:$M$18),"")</f>
      </c>
      <c r="M141" s="30"/>
    </row>
    <row r="142" spans="1:13" ht="14.25">
      <c r="A142" s="59"/>
      <c r="D142" s="23"/>
      <c r="F142" s="30"/>
      <c r="H142" s="59"/>
      <c r="K142" s="23"/>
      <c r="M142" s="30"/>
    </row>
    <row r="143" spans="1:13" s="64" customFormat="1" ht="15" customHeight="1">
      <c r="A143" s="89" t="s">
        <v>68</v>
      </c>
      <c r="B143" s="89"/>
      <c r="C143" s="89"/>
      <c r="D143" s="89"/>
      <c r="E143" s="89"/>
      <c r="F143" s="89"/>
      <c r="H143" s="89" t="s">
        <v>69</v>
      </c>
      <c r="I143" s="89"/>
      <c r="J143" s="89"/>
      <c r="K143" s="89"/>
      <c r="L143" s="89"/>
      <c r="M143" s="89"/>
    </row>
    <row r="144" spans="1:9" ht="14.25">
      <c r="A144" s="25" t="s">
        <v>47</v>
      </c>
      <c r="B144" s="25"/>
      <c r="H144" s="25" t="s">
        <v>47</v>
      </c>
      <c r="I144" s="25"/>
    </row>
    <row r="145" spans="1:13" ht="14.25">
      <c r="A145" s="59">
        <v>1</v>
      </c>
      <c r="B145" s="9">
        <f>IF(D145&gt;0,D145*100+36,0)</f>
        <v>136</v>
      </c>
      <c r="C145" s="2" t="str">
        <f>IF(B145&gt;0,LOOKUP(B145,Declarations!$D$2:$D$290,Declarations!$F$2:$F$290),"")</f>
        <v>Richard Parker</v>
      </c>
      <c r="D145" s="23">
        <v>1</v>
      </c>
      <c r="E145" s="2" t="str">
        <f>IF(D145&gt;0,LOOKUP(D145,Constants!$L$2:$L$18,Constants!$M$2:$M$18),"")</f>
        <v>Cannock &amp; Staffs AC</v>
      </c>
      <c r="F145" s="30" t="s">
        <v>256</v>
      </c>
      <c r="G145" s="2" t="s">
        <v>313</v>
      </c>
      <c r="H145" s="59">
        <v>1</v>
      </c>
      <c r="I145" s="9">
        <f>IF(K145&gt;0,K145*100+36,0)</f>
        <v>8836</v>
      </c>
      <c r="J145" s="2" t="str">
        <f>IF(I145&gt;0,LOOKUP(I145,Declarations!$D$2:$D$290,Declarations!$F$2:$F$290),"")</f>
        <v>Tom Dohnal</v>
      </c>
      <c r="K145" s="23">
        <v>88</v>
      </c>
      <c r="L145" s="2" t="str">
        <f>IF(K145&gt;0,LOOKUP(K145,Constants!$L$2:$L$18,Constants!$M$2:$M$18),"")</f>
        <v>City of Stoke AC</v>
      </c>
      <c r="M145" s="30" t="s">
        <v>262</v>
      </c>
    </row>
    <row r="146" spans="1:13" ht="14.25">
      <c r="A146" s="59">
        <v>2</v>
      </c>
      <c r="B146" s="9">
        <f aca="true" t="shared" si="28" ref="B146:B152">IF(D146&gt;0,D146*100+36,0)</f>
        <v>836</v>
      </c>
      <c r="C146" s="2" t="str">
        <f>IF(B146&gt;0,LOOKUP(B146,Declarations!$D$2:$D$290,Declarations!$F$2:$F$290),"")</f>
        <v>Elliot Price</v>
      </c>
      <c r="D146" s="23">
        <v>8</v>
      </c>
      <c r="E146" s="2" t="str">
        <f>IF(D146&gt;0,LOOKUP(D146,Constants!$L$2:$L$18,Constants!$M$2:$M$18),"")</f>
        <v>City of Stoke AC</v>
      </c>
      <c r="F146" s="30" t="s">
        <v>257</v>
      </c>
      <c r="G146" s="2" t="s">
        <v>313</v>
      </c>
      <c r="H146" s="59">
        <v>2</v>
      </c>
      <c r="I146" s="9">
        <f aca="true" t="shared" si="29" ref="I146:I152">IF(K146&gt;0,K146*100+36,0)</f>
        <v>7736</v>
      </c>
      <c r="J146" s="2" t="str">
        <f>IF(I146&gt;0,LOOKUP(I146,Declarations!$D$2:$D$290,Declarations!$F$2:$F$290),"")</f>
        <v>Juan Padmore</v>
      </c>
      <c r="K146" s="23">
        <v>77</v>
      </c>
      <c r="L146" s="2" t="str">
        <f>IF(K146&gt;0,LOOKUP(K146,Constants!$L$2:$L$18,Constants!$M$2:$M$18),"")</f>
        <v>Tamworth AC</v>
      </c>
      <c r="M146" s="30" t="s">
        <v>263</v>
      </c>
    </row>
    <row r="147" spans="1:13" ht="14.25">
      <c r="A147" s="59">
        <v>3</v>
      </c>
      <c r="B147" s="9">
        <f t="shared" si="28"/>
        <v>736</v>
      </c>
      <c r="C147" s="2" t="str">
        <f>IF(B147&gt;0,LOOKUP(B147,Declarations!$D$2:$D$290,Declarations!$F$2:$F$290),"")</f>
        <v>Alex Berrow</v>
      </c>
      <c r="D147" s="23">
        <v>7</v>
      </c>
      <c r="E147" s="2" t="str">
        <f>IF(D147&gt;0,LOOKUP(D147,Constants!$L$2:$L$18,Constants!$M$2:$M$18),"")</f>
        <v>Tamworth AC</v>
      </c>
      <c r="F147" s="30" t="s">
        <v>258</v>
      </c>
      <c r="H147" s="59">
        <v>3</v>
      </c>
      <c r="I147" s="9">
        <f t="shared" si="29"/>
        <v>1136</v>
      </c>
      <c r="J147" s="2" t="str">
        <f>IF(I147&gt;0,LOOKUP(I147,Declarations!$D$2:$D$290,Declarations!$F$2:$F$290),"")</f>
        <v>Ryan Deeley</v>
      </c>
      <c r="K147" s="23">
        <v>11</v>
      </c>
      <c r="L147" s="2" t="str">
        <f>IF(K147&gt;0,LOOKUP(K147,Constants!$L$2:$L$18,Constants!$M$2:$M$18),"")</f>
        <v>Cannock &amp; Staffs AC</v>
      </c>
      <c r="M147" s="30" t="s">
        <v>264</v>
      </c>
    </row>
    <row r="148" spans="1:13" ht="14.25">
      <c r="A148" s="59">
        <v>4</v>
      </c>
      <c r="B148" s="9">
        <f t="shared" si="28"/>
        <v>636</v>
      </c>
      <c r="C148" s="2" t="str">
        <f>IF(B148&gt;0,LOOKUP(B148,Declarations!$D$2:$D$290,Declarations!$F$2:$F$290),"")</f>
        <v>Paul Stone</v>
      </c>
      <c r="D148" s="23">
        <v>6</v>
      </c>
      <c r="E148" s="2" t="str">
        <f>IF(D148&gt;0,LOOKUP(D148,Constants!$L$2:$L$18,Constants!$M$2:$M$18),"")</f>
        <v>Rugby &amp; Northampton AC</v>
      </c>
      <c r="F148" s="30" t="s">
        <v>259</v>
      </c>
      <c r="H148" s="59">
        <v>4</v>
      </c>
      <c r="I148" s="9">
        <f t="shared" si="29"/>
        <v>0</v>
      </c>
      <c r="J148" s="2">
        <f>IF(I148&gt;0,LOOKUP(I148,Declarations!$D$2:$D$290,Declarations!$F$2:$F$290),"")</f>
      </c>
      <c r="K148" s="23"/>
      <c r="L148" s="2">
        <f>IF(K148&gt;0,LOOKUP(K148,Constants!$L$2:$L$18,Constants!$M$2:$M$18),"")</f>
      </c>
      <c r="M148" s="30"/>
    </row>
    <row r="149" spans="1:13" ht="14.25">
      <c r="A149" s="59">
        <v>5</v>
      </c>
      <c r="B149" s="9">
        <f t="shared" si="28"/>
        <v>236</v>
      </c>
      <c r="C149" s="2" t="str">
        <f>IF(B149&gt;0,LOOKUP(B149,Declarations!$D$2:$D$290,Declarations!$F$2:$F$290),"")</f>
        <v>Luke Tolly</v>
      </c>
      <c r="D149" s="23">
        <v>2</v>
      </c>
      <c r="E149" s="2" t="str">
        <f>IF(D149&gt;0,LOOKUP(D149,Constants!$L$2:$L$18,Constants!$M$2:$M$18),"")</f>
        <v>Coventry Godiva Harriers &amp; Sphinx AC</v>
      </c>
      <c r="F149" s="30" t="s">
        <v>260</v>
      </c>
      <c r="H149" s="59">
        <v>5</v>
      </c>
      <c r="I149" s="9">
        <f t="shared" si="29"/>
        <v>0</v>
      </c>
      <c r="J149" s="2">
        <f>IF(I149&gt;0,LOOKUP(I149,Declarations!$D$2:$D$290,Declarations!$F$2:$F$290),"")</f>
      </c>
      <c r="K149" s="23"/>
      <c r="L149" s="2">
        <f>IF(K149&gt;0,LOOKUP(K149,Constants!$L$2:$L$18,Constants!$M$2:$M$18),"")</f>
      </c>
      <c r="M149" s="30"/>
    </row>
    <row r="150" spans="1:13" ht="14.25">
      <c r="A150" s="59">
        <v>6</v>
      </c>
      <c r="B150" s="9">
        <f t="shared" si="28"/>
        <v>536</v>
      </c>
      <c r="C150" s="2" t="str">
        <f>IF(B150&gt;0,LOOKUP(B150,Declarations!$D$2:$D$290,Declarations!$F$2:$F$290),"")</f>
        <v>Andy Colman</v>
      </c>
      <c r="D150" s="23">
        <v>5</v>
      </c>
      <c r="E150" s="2" t="str">
        <f>IF(D150&gt;0,LOOKUP(D150,Constants!$L$2:$L$18,Constants!$M$2:$M$18),"")</f>
        <v>Nuneaton Harriers</v>
      </c>
      <c r="F150" s="30" t="s">
        <v>261</v>
      </c>
      <c r="H150" s="59">
        <v>6</v>
      </c>
      <c r="I150" s="9">
        <f t="shared" si="29"/>
        <v>0</v>
      </c>
      <c r="J150" s="2">
        <f>IF(I150&gt;0,LOOKUP(I150,Declarations!$D$2:$D$290,Declarations!$F$2:$F$290),"")</f>
      </c>
      <c r="K150" s="23"/>
      <c r="L150" s="2">
        <f>IF(K150&gt;0,LOOKUP(K150,Constants!$L$2:$L$18,Constants!$M$2:$M$18),"")</f>
      </c>
      <c r="M150" s="30"/>
    </row>
    <row r="151" spans="1:13" ht="14.25">
      <c r="A151" s="59">
        <v>7</v>
      </c>
      <c r="B151" s="9">
        <f t="shared" si="28"/>
        <v>0</v>
      </c>
      <c r="C151" s="2">
        <f>IF(B151&gt;0,LOOKUP(B151,Declarations!$D$2:$D$290,Declarations!$F$2:$F$290),"")</f>
      </c>
      <c r="D151" s="23"/>
      <c r="E151" s="2">
        <f>IF(D151&gt;0,LOOKUP(D151,Constants!$L$2:$L$18,Constants!$M$2:$M$18),"")</f>
      </c>
      <c r="F151" s="30"/>
      <c r="H151" s="59">
        <v>7</v>
      </c>
      <c r="I151" s="9">
        <f t="shared" si="29"/>
        <v>0</v>
      </c>
      <c r="J151" s="2">
        <f>IF(I151&gt;0,LOOKUP(I151,Declarations!$D$2:$D$290,Declarations!$F$2:$F$290),"")</f>
      </c>
      <c r="K151" s="23"/>
      <c r="L151" s="2">
        <f>IF(K151&gt;0,LOOKUP(K151,Constants!$L$2:$L$18,Constants!$M$2:$M$18),"")</f>
      </c>
      <c r="M151" s="30"/>
    </row>
    <row r="152" spans="1:13" ht="14.25">
      <c r="A152" s="59">
        <v>8</v>
      </c>
      <c r="B152" s="9">
        <f t="shared" si="28"/>
        <v>0</v>
      </c>
      <c r="C152" s="2">
        <f>IF(B152&gt;0,LOOKUP(B152,Declarations!$D$2:$D$290,Declarations!$F$2:$F$290),"")</f>
      </c>
      <c r="D152" s="23"/>
      <c r="E152" s="2">
        <f>IF(D152&gt;0,LOOKUP(D152,Constants!$L$2:$L$18,Constants!$M$2:$M$18),"")</f>
      </c>
      <c r="F152" s="30"/>
      <c r="H152" s="59">
        <v>8</v>
      </c>
      <c r="I152" s="9">
        <f t="shared" si="29"/>
        <v>0</v>
      </c>
      <c r="J152" s="2">
        <f>IF(I152&gt;0,LOOKUP(I152,Declarations!$D$2:$D$290,Declarations!$F$2:$F$290),"")</f>
      </c>
      <c r="K152" s="23"/>
      <c r="L152" s="2">
        <f>IF(K152&gt;0,LOOKUP(K152,Constants!$L$2:$L$18,Constants!$M$2:$M$18),"")</f>
      </c>
      <c r="M152" s="30"/>
    </row>
    <row r="154" spans="1:9" ht="14.25">
      <c r="A154" s="25" t="s">
        <v>44</v>
      </c>
      <c r="B154" s="25"/>
      <c r="H154" s="25" t="s">
        <v>44</v>
      </c>
      <c r="I154" s="25"/>
    </row>
    <row r="155" spans="1:13" ht="14.25">
      <c r="A155" s="59">
        <v>1</v>
      </c>
      <c r="B155" s="9">
        <f>IF(D155&gt;0,D155*100+37,0)</f>
        <v>837</v>
      </c>
      <c r="C155" s="2" t="str">
        <f>IF(B155&gt;0,LOOKUP(B155,Declarations!$D$2:$D$290,Declarations!$F$2:$F$290),"")</f>
        <v>Elliot Price</v>
      </c>
      <c r="D155" s="23">
        <v>8</v>
      </c>
      <c r="E155" s="2" t="str">
        <f>IF(D155&gt;0,LOOKUP(D155,Constants!$L$2:$L$18,Constants!$M$2:$M$18),"")</f>
        <v>City of Stoke AC</v>
      </c>
      <c r="F155" s="30" t="s">
        <v>347</v>
      </c>
      <c r="G155" s="2" t="s">
        <v>314</v>
      </c>
      <c r="H155" s="59">
        <v>1</v>
      </c>
      <c r="I155" s="9">
        <f>IF(K155&gt;0,K155*100+37,0)</f>
        <v>737</v>
      </c>
      <c r="J155" s="2" t="str">
        <f>IF(I155&gt;0,LOOKUP(I155,Declarations!$D$2:$D$290,Declarations!$F$2:$F$290),"")</f>
        <v>Alex Berrow</v>
      </c>
      <c r="K155" s="23">
        <v>7</v>
      </c>
      <c r="L155" s="2" t="str">
        <f>IF(K155&gt;0,LOOKUP(K155,Constants!$L$2:$L$18,Constants!$M$2:$M$18),"")</f>
        <v>Tamworth AC</v>
      </c>
      <c r="M155" s="30" t="s">
        <v>353</v>
      </c>
    </row>
    <row r="156" spans="1:13" ht="14.25">
      <c r="A156" s="59">
        <v>2</v>
      </c>
      <c r="B156" s="9">
        <f aca="true" t="shared" si="30" ref="B156:B162">IF(D156&gt;0,D156*100+37,0)</f>
        <v>137</v>
      </c>
      <c r="C156" s="2" t="str">
        <f>IF(B156&gt;0,LOOKUP(B156,Declarations!$D$2:$D$290,Declarations!$F$2:$F$290),"")</f>
        <v>Richard Parker</v>
      </c>
      <c r="D156" s="23">
        <v>1</v>
      </c>
      <c r="E156" s="2" t="str">
        <f>IF(D156&gt;0,LOOKUP(D156,Constants!$L$2:$L$18,Constants!$M$2:$M$18),"")</f>
        <v>Cannock &amp; Staffs AC</v>
      </c>
      <c r="F156" s="30" t="s">
        <v>348</v>
      </c>
      <c r="H156" s="59">
        <v>2</v>
      </c>
      <c r="I156" s="9">
        <f aca="true" t="shared" si="31" ref="I156:I162">IF(K156&gt;0,K156*100+37,0)</f>
        <v>2237</v>
      </c>
      <c r="J156" s="2">
        <f>IF(I156&gt;0,LOOKUP(I156,Declarations!$D$2:$D$290,Declarations!$F$2:$F$290),"")</f>
        <v>0</v>
      </c>
      <c r="K156" s="23">
        <v>22</v>
      </c>
      <c r="L156" s="2" t="str">
        <f>IF(K156&gt;0,LOOKUP(K156,Constants!$L$2:$L$18,Constants!$M$2:$M$18),"")</f>
        <v>Coventry Godiva Harriers &amp; Sphinx AC</v>
      </c>
      <c r="M156" s="30" t="s">
        <v>354</v>
      </c>
    </row>
    <row r="157" spans="1:13" ht="14.25">
      <c r="A157" s="59">
        <v>3</v>
      </c>
      <c r="B157" s="9">
        <f t="shared" si="30"/>
        <v>7737</v>
      </c>
      <c r="C157" s="2" t="str">
        <f>IF(B157&gt;0,LOOKUP(B157,Declarations!$D$2:$D$290,Declarations!$F$2:$F$290),"")</f>
        <v>David Levett</v>
      </c>
      <c r="D157" s="23">
        <v>77</v>
      </c>
      <c r="E157" s="2" t="str">
        <f>IF(D157&gt;0,LOOKUP(D157,Constants!$L$2:$L$18,Constants!$M$2:$M$18),"")</f>
        <v>Tamworth AC</v>
      </c>
      <c r="F157" s="30" t="s">
        <v>349</v>
      </c>
      <c r="H157" s="59">
        <v>3</v>
      </c>
      <c r="I157" s="9">
        <f t="shared" si="31"/>
        <v>0</v>
      </c>
      <c r="J157" s="2">
        <f>IF(I157&gt;0,LOOKUP(I157,Declarations!$D$2:$D$290,Declarations!$F$2:$F$290),"")</f>
      </c>
      <c r="K157" s="23"/>
      <c r="L157" s="2">
        <f>IF(K157&gt;0,LOOKUP(K157,Constants!$L$2:$L$18,Constants!$M$2:$M$18),"")</f>
      </c>
      <c r="M157" s="30"/>
    </row>
    <row r="158" spans="1:13" ht="14.25">
      <c r="A158" s="59">
        <v>4</v>
      </c>
      <c r="B158" s="9">
        <f t="shared" si="30"/>
        <v>337</v>
      </c>
      <c r="C158" s="2" t="str">
        <f>IF(B158&gt;0,LOOKUP(B158,Declarations!$D$2:$D$290,Declarations!$F$2:$F$290),"")</f>
        <v>Tom Atkinson</v>
      </c>
      <c r="D158" s="23">
        <v>3</v>
      </c>
      <c r="E158" s="2" t="str">
        <f>IF(D158&gt;0,LOOKUP(D158,Constants!$L$2:$L$18,Constants!$M$2:$M$18),"")</f>
        <v>Derby AC</v>
      </c>
      <c r="F158" s="30" t="s">
        <v>219</v>
      </c>
      <c r="H158" s="59">
        <v>4</v>
      </c>
      <c r="I158" s="9">
        <f t="shared" si="31"/>
        <v>0</v>
      </c>
      <c r="J158" s="2">
        <f>IF(I158&gt;0,LOOKUP(I158,Declarations!$D$2:$D$290,Declarations!$F$2:$F$290),"")</f>
      </c>
      <c r="K158" s="23"/>
      <c r="L158" s="2">
        <f>IF(K158&gt;0,LOOKUP(K158,Constants!$L$2:$L$18,Constants!$M$2:$M$18),"")</f>
      </c>
      <c r="M158" s="30"/>
    </row>
    <row r="159" spans="1:13" ht="14.25">
      <c r="A159" s="59">
        <v>5</v>
      </c>
      <c r="B159" s="9">
        <f t="shared" si="30"/>
        <v>637</v>
      </c>
      <c r="C159" s="2" t="str">
        <f>IF(B159&gt;0,LOOKUP(B159,Declarations!$D$2:$D$290,Declarations!$F$2:$F$290),"")</f>
        <v>Martin Vincent</v>
      </c>
      <c r="D159" s="23">
        <v>6</v>
      </c>
      <c r="E159" s="2" t="str">
        <f>IF(D159&gt;0,LOOKUP(D159,Constants!$L$2:$L$18,Constants!$M$2:$M$18),"")</f>
        <v>Rugby &amp; Northampton AC</v>
      </c>
      <c r="F159" s="30" t="s">
        <v>350</v>
      </c>
      <c r="H159" s="59">
        <v>5</v>
      </c>
      <c r="I159" s="9">
        <f t="shared" si="31"/>
        <v>0</v>
      </c>
      <c r="J159" s="2">
        <f>IF(I159&gt;0,LOOKUP(I159,Declarations!$D$2:$D$290,Declarations!$F$2:$F$290),"")</f>
      </c>
      <c r="K159" s="23"/>
      <c r="L159" s="2">
        <f>IF(K159&gt;0,LOOKUP(K159,Constants!$L$2:$L$18,Constants!$M$2:$M$18),"")</f>
      </c>
      <c r="M159" s="30"/>
    </row>
    <row r="160" spans="1:13" ht="14.25">
      <c r="A160" s="59">
        <v>6</v>
      </c>
      <c r="B160" s="9">
        <f t="shared" si="30"/>
        <v>537</v>
      </c>
      <c r="C160" s="2" t="str">
        <f>IF(B160&gt;0,LOOKUP(B160,Declarations!$D$2:$D$290,Declarations!$F$2:$F$290),"")</f>
        <v>Andy Colman</v>
      </c>
      <c r="D160" s="23">
        <v>5</v>
      </c>
      <c r="E160" s="2" t="str">
        <f>IF(D160&gt;0,LOOKUP(D160,Constants!$L$2:$L$18,Constants!$M$2:$M$18),"")</f>
        <v>Nuneaton Harriers</v>
      </c>
      <c r="F160" s="30" t="s">
        <v>351</v>
      </c>
      <c r="H160" s="59">
        <v>6</v>
      </c>
      <c r="I160" s="9">
        <f t="shared" si="31"/>
        <v>0</v>
      </c>
      <c r="J160" s="2">
        <f>IF(I160&gt;0,LOOKUP(I160,Declarations!$D$2:$D$290,Declarations!$F$2:$F$290),"")</f>
      </c>
      <c r="K160" s="23"/>
      <c r="L160" s="2">
        <f>IF(K160&gt;0,LOOKUP(K160,Constants!$L$2:$L$18,Constants!$M$2:$M$18),"")</f>
      </c>
      <c r="M160" s="30"/>
    </row>
    <row r="161" spans="1:13" ht="14.25">
      <c r="A161" s="59">
        <v>7</v>
      </c>
      <c r="B161" s="9">
        <f t="shared" si="30"/>
        <v>237</v>
      </c>
      <c r="C161" s="2" t="str">
        <f>IF(B161&gt;0,LOOKUP(B161,Declarations!$D$2:$D$290,Declarations!$F$2:$F$290),"")</f>
        <v>Harvey Speed</v>
      </c>
      <c r="D161" s="23">
        <v>2</v>
      </c>
      <c r="E161" s="2" t="str">
        <f>IF(D161&gt;0,LOOKUP(D161,Constants!$L$2:$L$18,Constants!$M$2:$M$18),"")</f>
        <v>Coventry Godiva Harriers &amp; Sphinx AC</v>
      </c>
      <c r="F161" s="30" t="s">
        <v>352</v>
      </c>
      <c r="H161" s="59">
        <v>7</v>
      </c>
      <c r="I161" s="9">
        <f t="shared" si="31"/>
        <v>0</v>
      </c>
      <c r="J161" s="2">
        <f>IF(I161&gt;0,LOOKUP(I161,Declarations!$D$2:$D$290,Declarations!$F$2:$F$290),"")</f>
      </c>
      <c r="K161" s="23"/>
      <c r="L161" s="2">
        <f>IF(K161&gt;0,LOOKUP(K161,Constants!$L$2:$L$18,Constants!$M$2:$M$18),"")</f>
      </c>
      <c r="M161" s="30"/>
    </row>
    <row r="162" spans="1:13" ht="14.25">
      <c r="A162" s="59">
        <v>8</v>
      </c>
      <c r="B162" s="9">
        <f t="shared" si="30"/>
        <v>0</v>
      </c>
      <c r="C162" s="2">
        <f>IF(B162&gt;0,LOOKUP(B162,Declarations!$D$2:$D$290,Declarations!$F$2:$F$290),"")</f>
      </c>
      <c r="D162" s="23"/>
      <c r="E162" s="2">
        <f>IF(D162&gt;0,LOOKUP(D162,Constants!$L$2:$L$18,Constants!$M$2:$M$18),"")</f>
      </c>
      <c r="F162" s="30"/>
      <c r="H162" s="59">
        <v>8</v>
      </c>
      <c r="I162" s="9">
        <f t="shared" si="31"/>
        <v>0</v>
      </c>
      <c r="J162" s="2">
        <f>IF(I162&gt;0,LOOKUP(I162,Declarations!$D$2:$D$290,Declarations!$F$2:$F$290),"")</f>
      </c>
      <c r="K162" s="23"/>
      <c r="L162" s="2">
        <f>IF(K162&gt;0,LOOKUP(K162,Constants!$L$2:$L$18,Constants!$M$2:$M$18),"")</f>
      </c>
      <c r="M162" s="30"/>
    </row>
    <row r="164" spans="1:9" ht="14.25">
      <c r="A164" s="25" t="s">
        <v>45</v>
      </c>
      <c r="B164" s="25"/>
      <c r="H164" s="25" t="s">
        <v>45</v>
      </c>
      <c r="I164" s="25"/>
    </row>
    <row r="165" spans="1:13" ht="14.25">
      <c r="A165" s="59">
        <v>1</v>
      </c>
      <c r="B165" s="9">
        <f>IF(D165&gt;0,D165*100+38,0)</f>
        <v>738</v>
      </c>
      <c r="C165" s="2" t="str">
        <f>IF(B165&gt;0,LOOKUP(B165,Declarations!$D$2:$D$290,Declarations!$F$2:$F$290),"")</f>
        <v>Tom Hardman</v>
      </c>
      <c r="D165" s="23">
        <v>7</v>
      </c>
      <c r="E165" s="2" t="str">
        <f>IF(D165&gt;0,LOOKUP(D165,Constants!$L$2:$L$18,Constants!$M$2:$M$18),"")</f>
        <v>Tamworth AC</v>
      </c>
      <c r="F165" s="30" t="s">
        <v>285</v>
      </c>
      <c r="G165" s="2" t="s">
        <v>315</v>
      </c>
      <c r="H165" s="59">
        <v>1</v>
      </c>
      <c r="I165" s="9">
        <f>IF(K165&gt;0,K165*100+38,0)</f>
        <v>1138</v>
      </c>
      <c r="J165" s="2" t="str">
        <f>IF(I165&gt;0,LOOKUP(I165,Declarations!$D$2:$D$290,Declarations!$F$2:$F$290),"")</f>
        <v>Ryan Deeley</v>
      </c>
      <c r="K165" s="23">
        <v>11</v>
      </c>
      <c r="L165" s="2" t="str">
        <f>IF(K165&gt;0,LOOKUP(K165,Constants!$L$2:$L$18,Constants!$M$2:$M$18),"")</f>
        <v>Cannock &amp; Staffs AC</v>
      </c>
      <c r="M165" s="30" t="s">
        <v>292</v>
      </c>
    </row>
    <row r="166" spans="1:13" ht="14.25">
      <c r="A166" s="59">
        <v>2</v>
      </c>
      <c r="B166" s="9">
        <f aca="true" t="shared" si="32" ref="B166:B172">IF(D166&gt;0,D166*100+38,0)</f>
        <v>338</v>
      </c>
      <c r="C166" s="2" t="str">
        <f>IF(B166&gt;0,LOOKUP(B166,Declarations!$D$2:$D$290,Declarations!$F$2:$F$290),"")</f>
        <v>Tom Atkinson</v>
      </c>
      <c r="D166" s="23">
        <v>3</v>
      </c>
      <c r="E166" s="2" t="str">
        <f>IF(D166&gt;0,LOOKUP(D166,Constants!$L$2:$L$18,Constants!$M$2:$M$18),"")</f>
        <v>Derby AC</v>
      </c>
      <c r="F166" s="30" t="s">
        <v>286</v>
      </c>
      <c r="G166" s="2" t="s">
        <v>315</v>
      </c>
      <c r="H166" s="59">
        <v>2</v>
      </c>
      <c r="I166" s="9">
        <f aca="true" t="shared" si="33" ref="I166:I172">IF(K166&gt;0,K166*100+38,0)</f>
        <v>2238</v>
      </c>
      <c r="J166" s="2" t="str">
        <f>IF(I166&gt;0,LOOKUP(I166,Declarations!$D$2:$D$290,Declarations!$F$2:$F$290),"")</f>
        <v>Nathan Blundell</v>
      </c>
      <c r="K166" s="23">
        <v>22</v>
      </c>
      <c r="L166" s="2" t="str">
        <f>IF(K166&gt;0,LOOKUP(K166,Constants!$L$2:$L$18,Constants!$M$2:$M$18),"")</f>
        <v>Coventry Godiva Harriers &amp; Sphinx AC</v>
      </c>
      <c r="M166" s="30" t="s">
        <v>293</v>
      </c>
    </row>
    <row r="167" spans="1:13" ht="14.25">
      <c r="A167" s="59">
        <v>3</v>
      </c>
      <c r="B167" s="9">
        <f t="shared" si="32"/>
        <v>238</v>
      </c>
      <c r="C167" s="2" t="str">
        <f>IF(B167&gt;0,LOOKUP(B167,Declarations!$D$2:$D$290,Declarations!$F$2:$F$290),"")</f>
        <v>Luke Tolly</v>
      </c>
      <c r="D167" s="23">
        <v>2</v>
      </c>
      <c r="E167" s="2" t="str">
        <f>IF(D167&gt;0,LOOKUP(D167,Constants!$L$2:$L$18,Constants!$M$2:$M$18),"")</f>
        <v>Coventry Godiva Harriers &amp; Sphinx AC</v>
      </c>
      <c r="F167" s="30" t="s">
        <v>287</v>
      </c>
      <c r="H167" s="59">
        <v>3</v>
      </c>
      <c r="I167" s="9">
        <f t="shared" si="33"/>
        <v>638</v>
      </c>
      <c r="J167" s="2" t="str">
        <f>IF(I167&gt;0,LOOKUP(I167,Declarations!$D$2:$D$290,Declarations!$F$2:$F$290),"")</f>
        <v>Martin Vincent</v>
      </c>
      <c r="K167" s="23">
        <v>6</v>
      </c>
      <c r="L167" s="2" t="str">
        <f>IF(K167&gt;0,LOOKUP(K167,Constants!$L$2:$L$18,Constants!$M$2:$M$18),"")</f>
        <v>Rugby &amp; Northampton AC</v>
      </c>
      <c r="M167" s="30" t="s">
        <v>294</v>
      </c>
    </row>
    <row r="168" spans="1:13" ht="14.25">
      <c r="A168" s="59">
        <v>4</v>
      </c>
      <c r="B168" s="9">
        <f t="shared" si="32"/>
        <v>138</v>
      </c>
      <c r="C168" s="2" t="str">
        <f>IF(B168&gt;0,LOOKUP(B168,Declarations!$D$2:$D$290,Declarations!$F$2:$F$290),"")</f>
        <v>Alex Widgery</v>
      </c>
      <c r="D168" s="23">
        <v>1</v>
      </c>
      <c r="E168" s="2" t="str">
        <f>IF(D168&gt;0,LOOKUP(D168,Constants!$L$2:$L$18,Constants!$M$2:$M$18),"")</f>
        <v>Cannock &amp; Staffs AC</v>
      </c>
      <c r="F168" s="30" t="s">
        <v>288</v>
      </c>
      <c r="H168" s="59">
        <v>4</v>
      </c>
      <c r="I168" s="9">
        <f t="shared" si="33"/>
        <v>7738</v>
      </c>
      <c r="J168" s="2" t="str">
        <f>IF(I168&gt;0,LOOKUP(I168,Declarations!$D$2:$D$290,Declarations!$F$2:$F$290),"")</f>
        <v>Ashley Smetham</v>
      </c>
      <c r="K168" s="23">
        <v>77</v>
      </c>
      <c r="L168" s="2" t="str">
        <f>IF(K168&gt;0,LOOKUP(K168,Constants!$L$2:$L$18,Constants!$M$2:$M$18),"")</f>
        <v>Tamworth AC</v>
      </c>
      <c r="M168" s="30" t="s">
        <v>295</v>
      </c>
    </row>
    <row r="169" spans="1:13" ht="14.25">
      <c r="A169" s="59">
        <v>5</v>
      </c>
      <c r="B169" s="9">
        <f t="shared" si="32"/>
        <v>838</v>
      </c>
      <c r="C169" s="2" t="str">
        <f>IF(B169&gt;0,LOOKUP(B169,Declarations!$D$2:$D$290,Declarations!$F$2:$F$290),"")</f>
        <v>Jack Bibby</v>
      </c>
      <c r="D169" s="23">
        <v>8</v>
      </c>
      <c r="E169" s="2" t="str">
        <f>IF(D169&gt;0,LOOKUP(D169,Constants!$L$2:$L$18,Constants!$M$2:$M$18),"")</f>
        <v>City of Stoke AC</v>
      </c>
      <c r="F169" s="30" t="s">
        <v>289</v>
      </c>
      <c r="H169" s="59">
        <v>5</v>
      </c>
      <c r="I169" s="9">
        <f t="shared" si="33"/>
        <v>8838</v>
      </c>
      <c r="J169" s="2" t="str">
        <f>IF(I169&gt;0,LOOKUP(I169,Declarations!$D$2:$D$290,Declarations!$F$2:$F$290),"")</f>
        <v>Matt McCarthy</v>
      </c>
      <c r="K169" s="23">
        <v>88</v>
      </c>
      <c r="L169" s="2" t="str">
        <f>IF(K169&gt;0,LOOKUP(K169,Constants!$L$2:$L$18,Constants!$M$2:$M$18),"")</f>
        <v>City of Stoke AC</v>
      </c>
      <c r="M169" s="30" t="s">
        <v>296</v>
      </c>
    </row>
    <row r="170" spans="1:13" ht="14.25">
      <c r="A170" s="59">
        <v>6</v>
      </c>
      <c r="B170" s="9">
        <f t="shared" si="32"/>
        <v>6638</v>
      </c>
      <c r="C170" s="2" t="str">
        <f>IF(B170&gt;0,LOOKUP(B170,Declarations!$D$2:$D$290,Declarations!$F$2:$F$290),"")</f>
        <v>Paul Stone</v>
      </c>
      <c r="D170" s="23">
        <v>66</v>
      </c>
      <c r="E170" s="2" t="str">
        <f>IF(D170&gt;0,LOOKUP(D170,Constants!$L$2:$L$18,Constants!$M$2:$M$18),"")</f>
        <v>Rugby &amp; Northampton AC</v>
      </c>
      <c r="F170" s="30" t="s">
        <v>290</v>
      </c>
      <c r="H170" s="59">
        <v>6</v>
      </c>
      <c r="I170" s="9">
        <f t="shared" si="33"/>
        <v>0</v>
      </c>
      <c r="J170" s="2">
        <f>IF(I170&gt;0,LOOKUP(I170,Declarations!$D$2:$D$290,Declarations!$F$2:$F$290),"")</f>
      </c>
      <c r="K170" s="23"/>
      <c r="L170" s="2">
        <f>IF(K170&gt;0,LOOKUP(K170,Constants!$L$2:$L$18,Constants!$M$2:$M$18),"")</f>
      </c>
      <c r="M170" s="30"/>
    </row>
    <row r="171" spans="1:13" ht="14.25">
      <c r="A171" s="59">
        <v>7</v>
      </c>
      <c r="B171" s="9">
        <f t="shared" si="32"/>
        <v>538</v>
      </c>
      <c r="C171" s="2" t="str">
        <f>IF(B171&gt;0,LOOKUP(B171,Declarations!$D$2:$D$290,Declarations!$F$2:$F$290),"")</f>
        <v>Callum Clarke</v>
      </c>
      <c r="D171" s="23">
        <v>5</v>
      </c>
      <c r="E171" s="2" t="str">
        <f>IF(D171&gt;0,LOOKUP(D171,Constants!$L$2:$L$18,Constants!$M$2:$M$18),"")</f>
        <v>Nuneaton Harriers</v>
      </c>
      <c r="F171" s="30" t="s">
        <v>291</v>
      </c>
      <c r="H171" s="59">
        <v>7</v>
      </c>
      <c r="I171" s="9">
        <f t="shared" si="33"/>
        <v>0</v>
      </c>
      <c r="J171" s="2">
        <f>IF(I171&gt;0,LOOKUP(I171,Declarations!$D$2:$D$290,Declarations!$F$2:$F$290),"")</f>
      </c>
      <c r="K171" s="23"/>
      <c r="L171" s="2">
        <f>IF(K171&gt;0,LOOKUP(K171,Constants!$L$2:$L$18,Constants!$M$2:$M$18),"")</f>
      </c>
      <c r="M171" s="30"/>
    </row>
    <row r="172" spans="1:13" ht="14.25">
      <c r="A172" s="59">
        <v>8</v>
      </c>
      <c r="B172" s="9">
        <f t="shared" si="32"/>
        <v>0</v>
      </c>
      <c r="C172" s="2">
        <f>IF(B172&gt;0,LOOKUP(B172,Declarations!$D$2:$D$290,Declarations!$F$2:$F$290),"")</f>
      </c>
      <c r="D172" s="23"/>
      <c r="E172" s="2">
        <f>IF(D172&gt;0,LOOKUP(D172,Constants!$L$2:$L$18,Constants!$M$2:$M$18),"")</f>
      </c>
      <c r="F172" s="30"/>
      <c r="H172" s="59">
        <v>8</v>
      </c>
      <c r="I172" s="9">
        <f t="shared" si="33"/>
        <v>0</v>
      </c>
      <c r="J172" s="2">
        <f>IF(I172&gt;0,LOOKUP(I172,Declarations!$D$2:$D$290,Declarations!$F$2:$F$290),"")</f>
      </c>
      <c r="K172" s="23"/>
      <c r="L172" s="2">
        <f>IF(K172&gt;0,LOOKUP(K172,Constants!$L$2:$L$18,Constants!$M$2:$M$18),"")</f>
      </c>
      <c r="M172" s="30"/>
    </row>
    <row r="174" spans="1:12" ht="14.25">
      <c r="A174" s="25" t="s">
        <v>34</v>
      </c>
      <c r="B174" s="25"/>
      <c r="H174" s="25"/>
      <c r="I174" s="25"/>
      <c r="K174" s="28"/>
      <c r="L174" s="28"/>
    </row>
    <row r="175" spans="1:13" s="26" customFormat="1" ht="14.25">
      <c r="A175" s="60">
        <v>1</v>
      </c>
      <c r="B175" s="17">
        <f>IF(D175&gt;0,D175*100+41,0)</f>
        <v>741</v>
      </c>
      <c r="C175" s="21" t="str">
        <f>IF(B175&gt;0,LOOKUP(B175,Declarations!$D$2:$D$290,Declarations!$F$2:$F$290),"")</f>
        <v>Rudd, Padmore, Cash, Crawford</v>
      </c>
      <c r="D175" s="22">
        <v>7</v>
      </c>
      <c r="E175" s="26" t="str">
        <f>IF(D175&gt;0,LOOKUP(D175,Constants!$L$2:$L$18,Constants!$M$2:$M$18),"")</f>
        <v>Tamworth AC</v>
      </c>
      <c r="F175" s="34" t="s">
        <v>355</v>
      </c>
      <c r="H175" s="17"/>
      <c r="I175" s="17"/>
      <c r="J175" s="21"/>
      <c r="K175" s="50"/>
      <c r="L175" s="50">
        <f>IF(K175&gt;0,LOOKUP(K175,Constants!$L$2:$L$18,Constants!$M$2:$M$18),"")</f>
      </c>
      <c r="M175" s="53"/>
    </row>
    <row r="176" spans="1:13" s="26" customFormat="1" ht="14.25">
      <c r="A176" s="60">
        <v>2</v>
      </c>
      <c r="B176" s="17">
        <f aca="true" t="shared" si="34" ref="B176:B182">IF(D176&gt;0,D176*100+41,0)</f>
        <v>241</v>
      </c>
      <c r="C176" s="21" t="str">
        <f>IF(B176&gt;0,LOOKUP(B176,Declarations!$D$2:$D$290,Declarations!$F$2:$F$290),"")</f>
        <v>Lines, Blundell, McGranchan, </v>
      </c>
      <c r="D176" s="22">
        <v>2</v>
      </c>
      <c r="E176" s="26" t="str">
        <f>IF(D176&gt;0,LOOKUP(D176,Constants!$L$2:$L$18,Constants!$M$2:$M$18),"")</f>
        <v>Coventry Godiva Harriers &amp; Sphinx AC</v>
      </c>
      <c r="F176" s="34" t="s">
        <v>356</v>
      </c>
      <c r="H176" s="17"/>
      <c r="I176" s="17"/>
      <c r="J176" s="21"/>
      <c r="K176" s="50"/>
      <c r="L176" s="50">
        <f>IF(K176&gt;0,LOOKUP(K176,Constants!$L$2:$L$18,Constants!$M$2:$M$18),"")</f>
      </c>
      <c r="M176" s="53"/>
    </row>
    <row r="177" spans="1:13" s="26" customFormat="1" ht="14.25">
      <c r="A177" s="60">
        <v>3</v>
      </c>
      <c r="B177" s="17">
        <f t="shared" si="34"/>
        <v>841</v>
      </c>
      <c r="C177" s="21" t="str">
        <f>IF(B177&gt;0,LOOKUP(B177,Declarations!$D$2:$D$290,Declarations!$F$2:$F$290),"")</f>
        <v>McCarthy, Chomanicz, Dohnal, Wilson</v>
      </c>
      <c r="D177" s="22">
        <v>8</v>
      </c>
      <c r="E177" s="26" t="str">
        <f>IF(D177&gt;0,LOOKUP(D177,Constants!$L$2:$L$18,Constants!$M$2:$M$18),"")</f>
        <v>City of Stoke AC</v>
      </c>
      <c r="F177" s="34" t="s">
        <v>357</v>
      </c>
      <c r="H177" s="17"/>
      <c r="I177" s="17"/>
      <c r="J177" s="21"/>
      <c r="K177" s="50"/>
      <c r="L177" s="50">
        <f>IF(K177&gt;0,LOOKUP(K177,Constants!$L$2:$L$18,Constants!$M$2:$M$18),"")</f>
      </c>
      <c r="M177" s="53"/>
    </row>
    <row r="178" spans="1:13" s="26" customFormat="1" ht="14.25">
      <c r="A178" s="60">
        <v>4</v>
      </c>
      <c r="B178" s="17">
        <f t="shared" si="34"/>
        <v>341</v>
      </c>
      <c r="C178" s="21" t="str">
        <f>IF(B178&gt;0,LOOKUP(B178,Declarations!$D$2:$D$290,Declarations!$F$2:$F$290),"")</f>
        <v>Lawrence, Davison, Wildrianne, Roulstone</v>
      </c>
      <c r="D178" s="22">
        <v>3</v>
      </c>
      <c r="E178" s="26" t="str">
        <f>IF(D178&gt;0,LOOKUP(D178,Constants!$L$2:$L$18,Constants!$M$2:$M$18),"")</f>
        <v>Derby AC</v>
      </c>
      <c r="F178" s="34" t="s">
        <v>358</v>
      </c>
      <c r="H178" s="17"/>
      <c r="I178" s="17"/>
      <c r="J178" s="21"/>
      <c r="K178" s="50"/>
      <c r="L178" s="50">
        <f>IF(K178&gt;0,LOOKUP(K178,Constants!$L$2:$L$18,Constants!$M$2:$M$18),"")</f>
      </c>
      <c r="M178" s="53"/>
    </row>
    <row r="179" spans="1:13" s="26" customFormat="1" ht="14.25">
      <c r="A179" s="60">
        <v>5</v>
      </c>
      <c r="B179" s="17">
        <f t="shared" si="34"/>
        <v>0</v>
      </c>
      <c r="C179" s="21">
        <f>IF(B179&gt;0,LOOKUP(B179,Declarations!$D$2:$D$290,Declarations!$F$2:$F$290),"")</f>
      </c>
      <c r="D179" s="22"/>
      <c r="E179" s="26">
        <f>IF(D179&gt;0,LOOKUP(D179,Constants!$L$2:$L$18,Constants!$M$2:$M$18),"")</f>
      </c>
      <c r="F179" s="34"/>
      <c r="H179" s="17"/>
      <c r="I179" s="17"/>
      <c r="J179" s="21"/>
      <c r="K179" s="50"/>
      <c r="L179" s="50">
        <f>IF(K179&gt;0,LOOKUP(K179,Constants!$L$2:$L$18,Constants!$M$2:$M$18),"")</f>
      </c>
      <c r="M179" s="53"/>
    </row>
    <row r="180" spans="1:13" s="26" customFormat="1" ht="14.25">
      <c r="A180" s="60">
        <v>6</v>
      </c>
      <c r="B180" s="17">
        <f t="shared" si="34"/>
        <v>0</v>
      </c>
      <c r="C180" s="21">
        <f>IF(B180&gt;0,LOOKUP(B180,Declarations!$D$2:$D$290,Declarations!$F$2:$F$290),"")</f>
      </c>
      <c r="D180" s="22"/>
      <c r="E180" s="26">
        <f>IF(D180&gt;0,LOOKUP(D180,Constants!$L$2:$L$18,Constants!$M$2:$M$18),"")</f>
      </c>
      <c r="F180" s="34"/>
      <c r="H180" s="17"/>
      <c r="I180" s="17"/>
      <c r="J180" s="21"/>
      <c r="K180" s="50"/>
      <c r="L180" s="50">
        <f>IF(K180&gt;0,LOOKUP(K180,Constants!$L$2:$L$18,Constants!$M$2:$M$18),"")</f>
      </c>
      <c r="M180" s="53"/>
    </row>
    <row r="181" spans="1:13" s="26" customFormat="1" ht="14.25">
      <c r="A181" s="60">
        <v>7</v>
      </c>
      <c r="B181" s="17">
        <f t="shared" si="34"/>
        <v>0</v>
      </c>
      <c r="C181" s="21">
        <f>IF(B181&gt;0,LOOKUP(B181,Declarations!$D$2:$D$290,Declarations!$F$2:$F$290),"")</f>
      </c>
      <c r="D181" s="22"/>
      <c r="E181" s="26">
        <f>IF(D181&gt;0,LOOKUP(D181,Constants!$L$2:$L$18,Constants!$M$2:$M$18),"")</f>
      </c>
      <c r="F181" s="34"/>
      <c r="H181" s="17"/>
      <c r="I181" s="17"/>
      <c r="J181" s="21"/>
      <c r="K181" s="50"/>
      <c r="L181" s="50">
        <f>IF(K181&gt;0,LOOKUP(K181,Constants!$L$2:$L$18,Constants!$M$2:$M$18),"")</f>
      </c>
      <c r="M181" s="53"/>
    </row>
    <row r="182" spans="1:13" s="26" customFormat="1" ht="14.25">
      <c r="A182" s="60">
        <v>8</v>
      </c>
      <c r="B182" s="17">
        <f t="shared" si="34"/>
        <v>0</v>
      </c>
      <c r="C182" s="21">
        <f>IF(B182&gt;0,LOOKUP(B182,Declarations!$D$2:$D$290,Declarations!$F$2:$F$290),"")</f>
      </c>
      <c r="D182" s="22"/>
      <c r="E182" s="26">
        <f>IF(D182&gt;0,LOOKUP(D182,Constants!$L$2:$L$18,Constants!$M$2:$M$18),"")</f>
      </c>
      <c r="F182" s="34"/>
      <c r="H182" s="17"/>
      <c r="I182" s="17"/>
      <c r="J182" s="21"/>
      <c r="K182" s="22"/>
      <c r="L182" s="26">
        <f>IF(K182&gt;0,LOOKUP(K182,Constants!$L$2:$L$18,Constants!$M$2:$M$18),"")</f>
      </c>
      <c r="M182" s="53"/>
    </row>
    <row r="184" spans="1:9" ht="14.25">
      <c r="A184" s="25" t="s">
        <v>35</v>
      </c>
      <c r="B184" s="25"/>
      <c r="H184" s="25"/>
      <c r="I184" s="25"/>
    </row>
    <row r="185" spans="1:13" s="26" customFormat="1" ht="14.25">
      <c r="A185" s="60">
        <v>1</v>
      </c>
      <c r="B185" s="17">
        <f>IF(D185&gt;0,D185*100+44,0)</f>
        <v>744</v>
      </c>
      <c r="C185" s="21" t="str">
        <f>IF(B185&gt;0,LOOKUP(B185,Declarations!$D$2:$D$290,Declarations!$F$2:$F$290),"")</f>
        <v>Lines, Jenkins, Woodward, Rudd</v>
      </c>
      <c r="D185" s="22">
        <v>7</v>
      </c>
      <c r="E185" s="26" t="str">
        <f>IF(D185&gt;0,LOOKUP(D185,Constants!$L$2:$L$18,Constants!$M$2:$M$18),"")</f>
        <v>Tamworth AC</v>
      </c>
      <c r="F185" s="34" t="s">
        <v>365</v>
      </c>
      <c r="H185" s="17"/>
      <c r="I185" s="17"/>
      <c r="J185" s="21"/>
      <c r="K185" s="50"/>
      <c r="L185" s="50">
        <f>IF(K185&gt;0,LOOKUP(K185,Constants!$L$2:$L$18,Constants!$M$2:$M$18),"")</f>
      </c>
      <c r="M185" s="53"/>
    </row>
    <row r="186" spans="1:13" s="26" customFormat="1" ht="14.25">
      <c r="A186" s="60">
        <v>2</v>
      </c>
      <c r="B186" s="17">
        <f aca="true" t="shared" si="35" ref="B186:B192">IF(D186&gt;0,D186*100+44,0)</f>
        <v>244</v>
      </c>
      <c r="C186" s="21" t="str">
        <f>IF(B186&gt;0,LOOKUP(B186,Declarations!$D$2:$D$290,Declarations!$F$2:$F$290),"")</f>
        <v>Bates, Speed, Lines, Blundell</v>
      </c>
      <c r="D186" s="22">
        <v>2</v>
      </c>
      <c r="E186" s="26" t="str">
        <f>IF(D186&gt;0,LOOKUP(D186,Constants!$L$2:$L$18,Constants!$M$2:$M$18),"")</f>
        <v>Coventry Godiva Harriers &amp; Sphinx AC</v>
      </c>
      <c r="F186" s="34" t="s">
        <v>366</v>
      </c>
      <c r="H186" s="17"/>
      <c r="I186" s="17"/>
      <c r="J186" s="21"/>
      <c r="K186" s="50"/>
      <c r="L186" s="50">
        <f>IF(K186&gt;0,LOOKUP(K186,Constants!$L$2:$L$18,Constants!$M$2:$M$18),"")</f>
      </c>
      <c r="M186" s="53"/>
    </row>
    <row r="187" spans="1:13" s="26" customFormat="1" ht="14.25">
      <c r="A187" s="60">
        <v>3</v>
      </c>
      <c r="B187" s="17">
        <f t="shared" si="35"/>
        <v>844</v>
      </c>
      <c r="C187" s="21" t="str">
        <f>IF(B187&gt;0,LOOKUP(B187,Declarations!$D$2:$D$290,Declarations!$F$2:$F$290),"")</f>
        <v>Shubotham, Ashman, Jones, Derricott</v>
      </c>
      <c r="D187" s="22">
        <v>8</v>
      </c>
      <c r="E187" s="26" t="str">
        <f>IF(D187&gt;0,LOOKUP(D187,Constants!$L$2:$L$18,Constants!$M$2:$M$18),"")</f>
        <v>City of Stoke AC</v>
      </c>
      <c r="F187" s="34" t="s">
        <v>367</v>
      </c>
      <c r="H187" s="17"/>
      <c r="I187" s="17"/>
      <c r="J187" s="21"/>
      <c r="K187" s="50"/>
      <c r="L187" s="50">
        <f>IF(K187&gt;0,LOOKUP(K187,Constants!$L$2:$L$18,Constants!$M$2:$M$18),"")</f>
      </c>
      <c r="M187" s="53"/>
    </row>
    <row r="188" spans="1:13" s="26" customFormat="1" ht="14.25">
      <c r="A188" s="60">
        <v>4</v>
      </c>
      <c r="B188" s="17">
        <f t="shared" si="35"/>
        <v>644</v>
      </c>
      <c r="C188" s="21" t="str">
        <f>IF(B188&gt;0,LOOKUP(B188,Declarations!$D$2:$D$290,Declarations!$F$2:$F$290),"")</f>
        <v>Barritt, Ratcliffe, Emery, Labrum</v>
      </c>
      <c r="D188" s="22">
        <v>6</v>
      </c>
      <c r="E188" s="26" t="str">
        <f>IF(D188&gt;0,LOOKUP(D188,Constants!$L$2:$L$18,Constants!$M$2:$M$18),"")</f>
        <v>Rugby &amp; Northampton AC</v>
      </c>
      <c r="F188" s="34" t="s">
        <v>368</v>
      </c>
      <c r="H188" s="17"/>
      <c r="I188" s="17"/>
      <c r="J188" s="21"/>
      <c r="K188" s="50"/>
      <c r="L188" s="50">
        <f>IF(K188&gt;0,LOOKUP(K188,Constants!$L$2:$L$18,Constants!$M$2:$M$18),"")</f>
      </c>
      <c r="M188" s="53"/>
    </row>
    <row r="189" spans="1:13" s="26" customFormat="1" ht="14.25">
      <c r="A189" s="60">
        <v>5</v>
      </c>
      <c r="B189" s="17">
        <f t="shared" si="35"/>
        <v>344</v>
      </c>
      <c r="C189" s="21" t="str">
        <f>IF(B189&gt;0,LOOKUP(B189,Declarations!$D$2:$D$290,Declarations!$F$2:$F$290),"")</f>
        <v>Payne, Chetwyn, Davison, Lawrence</v>
      </c>
      <c r="D189" s="22">
        <v>3</v>
      </c>
      <c r="E189" s="26" t="str">
        <f>IF(D189&gt;0,LOOKUP(D189,Constants!$L$2:$L$18,Constants!$M$2:$M$18),"")</f>
        <v>Derby AC</v>
      </c>
      <c r="F189" s="34" t="s">
        <v>369</v>
      </c>
      <c r="H189" s="17"/>
      <c r="I189" s="17"/>
      <c r="J189" s="21"/>
      <c r="K189" s="50"/>
      <c r="L189" s="50">
        <f>IF(K189&gt;0,LOOKUP(K189,Constants!$L$2:$L$18,Constants!$M$2:$M$18),"")</f>
      </c>
      <c r="M189" s="53"/>
    </row>
    <row r="190" spans="1:13" s="26" customFormat="1" ht="14.25">
      <c r="A190" s="60">
        <v>6</v>
      </c>
      <c r="B190" s="17">
        <f t="shared" si="35"/>
        <v>0</v>
      </c>
      <c r="C190" s="21">
        <f>IF(B190&gt;0,LOOKUP(B190,Declarations!$D$2:$D$290,Declarations!$F$2:$F$290),"")</f>
      </c>
      <c r="D190" s="22"/>
      <c r="E190" s="26">
        <f>IF(D190&gt;0,LOOKUP(D190,Constants!$L$2:$L$18,Constants!$M$2:$M$18),"")</f>
      </c>
      <c r="F190" s="34"/>
      <c r="H190" s="17"/>
      <c r="I190" s="17"/>
      <c r="J190" s="21"/>
      <c r="K190" s="50"/>
      <c r="L190" s="50">
        <f>IF(K190&gt;0,LOOKUP(K190,Constants!$L$2:$L$18,Constants!$M$2:$M$18),"")</f>
      </c>
      <c r="M190" s="53"/>
    </row>
    <row r="191" spans="1:13" s="26" customFormat="1" ht="14.25">
      <c r="A191" s="60">
        <v>7</v>
      </c>
      <c r="B191" s="17">
        <f t="shared" si="35"/>
        <v>0</v>
      </c>
      <c r="C191" s="21">
        <f>IF(B191&gt;0,LOOKUP(B191,Declarations!$D$2:$D$290,Declarations!$F$2:$F$290),"")</f>
      </c>
      <c r="D191" s="22"/>
      <c r="E191" s="26">
        <f>IF(D191&gt;0,LOOKUP(D191,Constants!$L$2:$L$18,Constants!$M$2:$M$18),"")</f>
      </c>
      <c r="F191" s="34"/>
      <c r="H191" s="17"/>
      <c r="I191" s="17"/>
      <c r="J191" s="21"/>
      <c r="K191" s="50"/>
      <c r="L191" s="50">
        <f>IF(K191&gt;0,LOOKUP(K191,Constants!$L$2:$L$18,Constants!$M$2:$M$18),"")</f>
      </c>
      <c r="M191" s="53"/>
    </row>
    <row r="192" spans="1:13" s="26" customFormat="1" ht="14.25">
      <c r="A192" s="60">
        <v>8</v>
      </c>
      <c r="B192" s="17">
        <f t="shared" si="35"/>
        <v>0</v>
      </c>
      <c r="C192" s="21">
        <f>IF(B192&gt;0,LOOKUP(B192,Declarations!$D$2:$D$290,Declarations!$F$2:$F$290),"")</f>
      </c>
      <c r="D192" s="22"/>
      <c r="E192" s="26">
        <f>IF(D192&gt;0,LOOKUP(D192,Constants!$L$2:$L$18,Constants!$M$2:$M$18),"")</f>
      </c>
      <c r="F192" s="34"/>
      <c r="H192" s="17"/>
      <c r="I192" s="17"/>
      <c r="J192" s="21"/>
      <c r="K192" s="50"/>
      <c r="L192" s="50">
        <f>IF(K192&gt;0,LOOKUP(K192,Constants!$L$2:$L$18,Constants!$M$2:$M$18),"")</f>
      </c>
      <c r="M192" s="53"/>
    </row>
  </sheetData>
  <mergeCells count="6">
    <mergeCell ref="A143:F143"/>
    <mergeCell ref="H143:M143"/>
    <mergeCell ref="A1:F1"/>
    <mergeCell ref="H1:M1"/>
    <mergeCell ref="A72:F72"/>
    <mergeCell ref="H72:M72"/>
  </mergeCells>
  <printOptions horizontalCentered="1"/>
  <pageMargins left="0" right="0" top="0.3937007874015748" bottom="0" header="0" footer="0"/>
  <pageSetup horizontalDpi="300" verticalDpi="300" orientation="portrait" paperSize="9" scale="70" r:id="rId1"/>
  <rowBreaks count="2" manualBreakCount="2">
    <brk id="71" max="255" man="1"/>
    <brk id="142" max="255" man="1"/>
  </rowBreaks>
</worksheet>
</file>

<file path=xl/worksheets/sheet4.xml><?xml version="1.0" encoding="utf-8"?>
<worksheet xmlns="http://schemas.openxmlformats.org/spreadsheetml/2006/main" xmlns:r="http://schemas.openxmlformats.org/officeDocument/2006/relationships">
  <dimension ref="A1:H292"/>
  <sheetViews>
    <sheetView zoomScale="75" zoomScaleNormal="75" workbookViewId="0" topLeftCell="A1">
      <pane ySplit="1" topLeftCell="BM2" activePane="bottomLeft" state="frozen"/>
      <selection pane="topLeft" activeCell="A1" sqref="A1"/>
      <selection pane="bottomLeft" activeCell="H27" sqref="H27"/>
    </sheetView>
  </sheetViews>
  <sheetFormatPr defaultColWidth="8.796875" defaultRowHeight="14.25"/>
  <cols>
    <col min="1" max="1" width="3.09765625" style="0" bestFit="1" customWidth="1"/>
    <col min="2" max="2" width="14" style="0" bestFit="1" customWidth="1"/>
    <col min="3" max="3" width="10.8984375" style="0" bestFit="1" customWidth="1"/>
    <col min="4" max="4" width="9" style="0" hidden="1" customWidth="1"/>
    <col min="5" max="5" width="3.5" style="0" customWidth="1"/>
    <col min="6" max="6" width="33.09765625" style="0" customWidth="1"/>
    <col min="7" max="7" width="6.3984375" style="0" customWidth="1"/>
    <col min="8" max="8" width="33.09765625" style="0" customWidth="1"/>
  </cols>
  <sheetData>
    <row r="1" spans="6:8" ht="14.25">
      <c r="F1" s="45" t="s">
        <v>68</v>
      </c>
      <c r="G1" s="1"/>
      <c r="H1" s="45" t="s">
        <v>69</v>
      </c>
    </row>
    <row r="2" spans="1:8" ht="14.25">
      <c r="A2">
        <f>Constants!$L$3</f>
        <v>1</v>
      </c>
      <c r="B2" t="str">
        <f>Constants!$M$3</f>
        <v>Cannock &amp; Staffs AC</v>
      </c>
      <c r="C2" t="s">
        <v>18</v>
      </c>
      <c r="D2">
        <f>A2*100+1</f>
        <v>101</v>
      </c>
      <c r="F2" s="11"/>
      <c r="H2" s="11"/>
    </row>
    <row r="3" spans="1:8" ht="14.25">
      <c r="A3" s="13">
        <f>Constants!$L$3</f>
        <v>1</v>
      </c>
      <c r="B3" s="13" t="str">
        <f>Constants!$M$3</f>
        <v>Cannock &amp; Staffs AC</v>
      </c>
      <c r="C3" t="s">
        <v>19</v>
      </c>
      <c r="D3">
        <f>A3*100+2</f>
        <v>102</v>
      </c>
      <c r="F3" s="11"/>
      <c r="H3" s="11"/>
    </row>
    <row r="4" spans="1:8" ht="14.25">
      <c r="A4" s="13">
        <f>Constants!$L$3</f>
        <v>1</v>
      </c>
      <c r="B4" s="13" t="str">
        <f>Constants!$M$3</f>
        <v>Cannock &amp; Staffs AC</v>
      </c>
      <c r="C4" t="s">
        <v>20</v>
      </c>
      <c r="D4">
        <f>A4*100+4</f>
        <v>104</v>
      </c>
      <c r="F4" s="11"/>
      <c r="H4" s="11"/>
    </row>
    <row r="5" spans="1:8" ht="14.25">
      <c r="A5" s="13">
        <f>Constants!$L$3</f>
        <v>1</v>
      </c>
      <c r="B5" s="13" t="str">
        <f>Constants!$M$3</f>
        <v>Cannock &amp; Staffs AC</v>
      </c>
      <c r="C5" t="s">
        <v>21</v>
      </c>
      <c r="D5">
        <f>A5*100+8</f>
        <v>108</v>
      </c>
      <c r="F5" s="11" t="s">
        <v>148</v>
      </c>
      <c r="H5" s="11" t="s">
        <v>153</v>
      </c>
    </row>
    <row r="6" spans="1:8" ht="14.25">
      <c r="A6" s="13">
        <f>Constants!$L$3</f>
        <v>1</v>
      </c>
      <c r="B6" s="13" t="str">
        <f>Constants!$M$3</f>
        <v>Cannock &amp; Staffs AC</v>
      </c>
      <c r="C6" t="s">
        <v>22</v>
      </c>
      <c r="D6">
        <f>A6*100+15</f>
        <v>115</v>
      </c>
      <c r="F6" s="11" t="s">
        <v>149</v>
      </c>
      <c r="H6" s="11" t="s">
        <v>148</v>
      </c>
    </row>
    <row r="7" spans="1:8" ht="14.25">
      <c r="A7" s="13">
        <f>Constants!$L$3</f>
        <v>1</v>
      </c>
      <c r="B7" s="13" t="str">
        <f>Constants!$M$3</f>
        <v>Cannock &amp; Staffs AC</v>
      </c>
      <c r="C7" t="s">
        <v>129</v>
      </c>
      <c r="D7">
        <f>A7*100+16</f>
        <v>116</v>
      </c>
      <c r="F7" s="11" t="s">
        <v>284</v>
      </c>
      <c r="H7" s="11"/>
    </row>
    <row r="8" spans="1:8" ht="14.25">
      <c r="A8" s="13">
        <f>Constants!$L$3</f>
        <v>1</v>
      </c>
      <c r="B8" s="13" t="str">
        <f>Constants!$M$3</f>
        <v>Cannock &amp; Staffs AC</v>
      </c>
      <c r="C8" t="s">
        <v>130</v>
      </c>
      <c r="D8">
        <f>A8*100+19</f>
        <v>119</v>
      </c>
      <c r="F8" s="11"/>
      <c r="H8" s="11"/>
    </row>
    <row r="9" spans="1:8" ht="14.25">
      <c r="A9" s="13">
        <f>Constants!$L$3</f>
        <v>1</v>
      </c>
      <c r="B9" s="13" t="str">
        <f>Constants!$M$3</f>
        <v>Cannock &amp; Staffs AC</v>
      </c>
      <c r="C9" t="s">
        <v>87</v>
      </c>
      <c r="D9">
        <f>A9*100+21</f>
        <v>121</v>
      </c>
      <c r="F9" s="11"/>
      <c r="H9" s="11"/>
    </row>
    <row r="10" spans="1:8" ht="14.25">
      <c r="A10" s="13">
        <f>Constants!$L$3</f>
        <v>1</v>
      </c>
      <c r="B10" s="13" t="str">
        <f>Constants!$M$3</f>
        <v>Cannock &amp; Staffs AC</v>
      </c>
      <c r="C10" t="s">
        <v>24</v>
      </c>
      <c r="D10">
        <f>A10*100+24</f>
        <v>124</v>
      </c>
      <c r="F10" s="11"/>
      <c r="H10" s="11"/>
    </row>
    <row r="11" spans="1:8" ht="14.25">
      <c r="A11" s="13">
        <f>Constants!$L$3</f>
        <v>1</v>
      </c>
      <c r="B11" s="13" t="str">
        <f>Constants!$M$3</f>
        <v>Cannock &amp; Staffs AC</v>
      </c>
      <c r="C11" t="s">
        <v>57</v>
      </c>
      <c r="D11">
        <f>A11*100+31</f>
        <v>131</v>
      </c>
      <c r="F11" s="11" t="s">
        <v>151</v>
      </c>
      <c r="H11" s="11" t="s">
        <v>154</v>
      </c>
    </row>
    <row r="12" spans="1:8" ht="14.25">
      <c r="A12" s="13">
        <f>Constants!$L$3</f>
        <v>1</v>
      </c>
      <c r="B12" s="13" t="str">
        <f>Constants!$M$3</f>
        <v>Cannock &amp; Staffs AC</v>
      </c>
      <c r="C12" t="s">
        <v>40</v>
      </c>
      <c r="D12">
        <f>A12*100+32</f>
        <v>132</v>
      </c>
      <c r="F12" s="11" t="s">
        <v>150</v>
      </c>
      <c r="H12" s="11" t="s">
        <v>151</v>
      </c>
    </row>
    <row r="13" spans="1:8" ht="14.25">
      <c r="A13" s="13">
        <f>Constants!$L$3</f>
        <v>1</v>
      </c>
      <c r="B13" s="13" t="str">
        <f>Constants!$M$3</f>
        <v>Cannock &amp; Staffs AC</v>
      </c>
      <c r="C13" t="s">
        <v>42</v>
      </c>
      <c r="D13">
        <f>A13*100+33</f>
        <v>133</v>
      </c>
      <c r="F13" s="11" t="s">
        <v>151</v>
      </c>
      <c r="H13" s="11"/>
    </row>
    <row r="14" spans="1:8" ht="14.25">
      <c r="A14" s="13">
        <f>Constants!$L$3</f>
        <v>1</v>
      </c>
      <c r="B14" s="13" t="str">
        <f>Constants!$M$3</f>
        <v>Cannock &amp; Staffs AC</v>
      </c>
      <c r="C14" t="s">
        <v>41</v>
      </c>
      <c r="D14">
        <f>A14*100+34</f>
        <v>134</v>
      </c>
      <c r="F14" s="11"/>
      <c r="H14" s="11"/>
    </row>
    <row r="15" spans="1:8" ht="14.25">
      <c r="A15" s="13">
        <f>Constants!$L$3</f>
        <v>1</v>
      </c>
      <c r="B15" s="13" t="str">
        <f>Constants!$M$3</f>
        <v>Cannock &amp; Staffs AC</v>
      </c>
      <c r="C15" t="s">
        <v>43</v>
      </c>
      <c r="D15">
        <f>A15*100+35</f>
        <v>135</v>
      </c>
      <c r="F15" s="11" t="s">
        <v>152</v>
      </c>
      <c r="H15" s="11"/>
    </row>
    <row r="16" spans="1:8" ht="14.25">
      <c r="A16" s="13">
        <f>Constants!$L$3</f>
        <v>1</v>
      </c>
      <c r="B16" s="13" t="str">
        <f>Constants!$M$3</f>
        <v>Cannock &amp; Staffs AC</v>
      </c>
      <c r="C16" t="s">
        <v>47</v>
      </c>
      <c r="D16">
        <f>A16*100+36</f>
        <v>136</v>
      </c>
      <c r="F16" s="11" t="s">
        <v>152</v>
      </c>
      <c r="H16" s="11" t="s">
        <v>154</v>
      </c>
    </row>
    <row r="17" spans="1:8" ht="14.25">
      <c r="A17" s="13">
        <f>Constants!$L$3</f>
        <v>1</v>
      </c>
      <c r="B17" s="13" t="str">
        <f>Constants!$M$3</f>
        <v>Cannock &amp; Staffs AC</v>
      </c>
      <c r="C17" t="s">
        <v>44</v>
      </c>
      <c r="D17">
        <f>A17*100+37</f>
        <v>137</v>
      </c>
      <c r="F17" s="11" t="s">
        <v>152</v>
      </c>
      <c r="H17" s="11" t="s">
        <v>151</v>
      </c>
    </row>
    <row r="18" spans="1:8" ht="14.25">
      <c r="A18" s="13">
        <f>Constants!$L$3</f>
        <v>1</v>
      </c>
      <c r="B18" s="13" t="str">
        <f>Constants!$M$3</f>
        <v>Cannock &amp; Staffs AC</v>
      </c>
      <c r="C18" t="s">
        <v>45</v>
      </c>
      <c r="D18">
        <f>A18*100+38</f>
        <v>138</v>
      </c>
      <c r="F18" s="11" t="s">
        <v>151</v>
      </c>
      <c r="H18" s="11" t="s">
        <v>154</v>
      </c>
    </row>
    <row r="19" spans="1:8" s="18" customFormat="1" ht="30.75" customHeight="1">
      <c r="A19" s="19">
        <f>Constants!$L$3</f>
        <v>1</v>
      </c>
      <c r="B19" s="19" t="str">
        <f>Constants!$M$3</f>
        <v>Cannock &amp; Staffs AC</v>
      </c>
      <c r="C19" s="18" t="s">
        <v>25</v>
      </c>
      <c r="D19" s="18">
        <f>A19*100+41</f>
        <v>141</v>
      </c>
      <c r="F19" s="11"/>
      <c r="G19" s="20"/>
      <c r="H19" s="55"/>
    </row>
    <row r="20" spans="1:8" s="18" customFormat="1" ht="30.75" customHeight="1">
      <c r="A20" s="19">
        <f>Constants!$L$3</f>
        <v>1</v>
      </c>
      <c r="B20" s="19" t="str">
        <f>Constants!$M$3</f>
        <v>Cannock &amp; Staffs AC</v>
      </c>
      <c r="C20" s="18" t="s">
        <v>26</v>
      </c>
      <c r="D20" s="18">
        <f>A20*100+44</f>
        <v>144</v>
      </c>
      <c r="F20" s="11"/>
      <c r="G20" s="20"/>
      <c r="H20" s="55"/>
    </row>
    <row r="21" spans="1:8" ht="14.25">
      <c r="A21">
        <f>Constants!$L$4</f>
        <v>2</v>
      </c>
      <c r="B21" t="str">
        <f>Constants!$M$4</f>
        <v>Coventry Godiva Harriers &amp; Sphinx AC</v>
      </c>
      <c r="C21" t="s">
        <v>18</v>
      </c>
      <c r="D21">
        <f>A21*100+1</f>
        <v>201</v>
      </c>
      <c r="F21" s="11" t="s">
        <v>158</v>
      </c>
      <c r="H21" s="11" t="s">
        <v>163</v>
      </c>
    </row>
    <row r="22" spans="1:8" ht="14.25">
      <c r="A22" s="13">
        <f>Constants!$L$4</f>
        <v>2</v>
      </c>
      <c r="B22" s="13" t="str">
        <f>Constants!$M$4</f>
        <v>Coventry Godiva Harriers &amp; Sphinx AC</v>
      </c>
      <c r="C22" t="s">
        <v>19</v>
      </c>
      <c r="D22">
        <f>A22*100+2</f>
        <v>202</v>
      </c>
      <c r="F22" s="11" t="s">
        <v>159</v>
      </c>
      <c r="H22" s="11" t="s">
        <v>158</v>
      </c>
    </row>
    <row r="23" spans="1:8" ht="14.25">
      <c r="A23" s="13">
        <f>Constants!$L$4</f>
        <v>2</v>
      </c>
      <c r="B23" s="13" t="str">
        <f>Constants!$M$4</f>
        <v>Coventry Godiva Harriers &amp; Sphinx AC</v>
      </c>
      <c r="C23" t="s">
        <v>20</v>
      </c>
      <c r="D23">
        <f>A23*100+4</f>
        <v>204</v>
      </c>
      <c r="F23" s="11" t="s">
        <v>159</v>
      </c>
      <c r="H23" s="11" t="s">
        <v>184</v>
      </c>
    </row>
    <row r="24" spans="1:8" ht="14.25">
      <c r="A24" s="13">
        <f>Constants!$L$4</f>
        <v>2</v>
      </c>
      <c r="B24" s="13" t="str">
        <f>Constants!$M$4</f>
        <v>Coventry Godiva Harriers &amp; Sphinx AC</v>
      </c>
      <c r="C24" t="s">
        <v>21</v>
      </c>
      <c r="D24">
        <f>A24*100+8</f>
        <v>208</v>
      </c>
      <c r="F24" s="11" t="s">
        <v>184</v>
      </c>
      <c r="H24" s="11" t="s">
        <v>160</v>
      </c>
    </row>
    <row r="25" spans="1:8" ht="14.25">
      <c r="A25" s="13">
        <f>Constants!$L$4</f>
        <v>2</v>
      </c>
      <c r="B25" s="13" t="str">
        <f>Constants!$M$4</f>
        <v>Coventry Godiva Harriers &amp; Sphinx AC</v>
      </c>
      <c r="C25" t="s">
        <v>22</v>
      </c>
      <c r="D25">
        <f>A25*100+15</f>
        <v>215</v>
      </c>
      <c r="F25" s="11" t="s">
        <v>235</v>
      </c>
      <c r="H25" s="11" t="s">
        <v>160</v>
      </c>
    </row>
    <row r="26" spans="1:8" ht="14.25">
      <c r="A26" s="13">
        <f>Constants!$L$4</f>
        <v>2</v>
      </c>
      <c r="B26" s="13" t="str">
        <f>Constants!$M$4</f>
        <v>Coventry Godiva Harriers &amp; Sphinx AC</v>
      </c>
      <c r="C26" t="s">
        <v>129</v>
      </c>
      <c r="D26">
        <f>A26*100+16</f>
        <v>216</v>
      </c>
      <c r="F26" s="11" t="s">
        <v>161</v>
      </c>
      <c r="H26" s="11" t="s">
        <v>162</v>
      </c>
    </row>
    <row r="27" spans="1:8" ht="14.25">
      <c r="A27" s="13">
        <f>Constants!$L$4</f>
        <v>2</v>
      </c>
      <c r="B27" s="13" t="str">
        <f>Constants!$M$3</f>
        <v>Cannock &amp; Staffs AC</v>
      </c>
      <c r="C27" t="s">
        <v>130</v>
      </c>
      <c r="D27">
        <f>A27*100+19</f>
        <v>219</v>
      </c>
      <c r="F27" s="11" t="s">
        <v>161</v>
      </c>
      <c r="H27" s="11" t="s">
        <v>165</v>
      </c>
    </row>
    <row r="28" spans="1:8" ht="14.25">
      <c r="A28" s="13">
        <f>Constants!$L$4</f>
        <v>2</v>
      </c>
      <c r="B28" s="13" t="str">
        <f>Constants!$M$4</f>
        <v>Coventry Godiva Harriers &amp; Sphinx AC</v>
      </c>
      <c r="C28" t="s">
        <v>23</v>
      </c>
      <c r="D28">
        <f>A28*100+21</f>
        <v>221</v>
      </c>
      <c r="F28" s="11"/>
      <c r="H28" s="11"/>
    </row>
    <row r="29" spans="1:8" ht="14.25">
      <c r="A29" s="13">
        <f>Constants!$L$4</f>
        <v>2</v>
      </c>
      <c r="B29" s="13" t="str">
        <f>Constants!$M$4</f>
        <v>Coventry Godiva Harriers &amp; Sphinx AC</v>
      </c>
      <c r="C29" t="s">
        <v>24</v>
      </c>
      <c r="D29">
        <f>A29*100+24</f>
        <v>224</v>
      </c>
      <c r="F29" s="11" t="s">
        <v>162</v>
      </c>
      <c r="H29" s="11"/>
    </row>
    <row r="30" spans="1:8" ht="14.25">
      <c r="A30" s="13">
        <f>Constants!$L$4</f>
        <v>2</v>
      </c>
      <c r="B30" s="13" t="str">
        <f>Constants!$M$4</f>
        <v>Coventry Godiva Harriers &amp; Sphinx AC</v>
      </c>
      <c r="C30" t="s">
        <v>57</v>
      </c>
      <c r="D30">
        <f>A30*100+31</f>
        <v>231</v>
      </c>
      <c r="F30" s="11" t="s">
        <v>163</v>
      </c>
      <c r="H30" s="11"/>
    </row>
    <row r="31" spans="1:8" ht="14.25">
      <c r="A31" s="13">
        <f>Constants!$L$4</f>
        <v>2</v>
      </c>
      <c r="B31" s="13" t="str">
        <f>Constants!$M$4</f>
        <v>Coventry Godiva Harriers &amp; Sphinx AC</v>
      </c>
      <c r="C31" t="s">
        <v>40</v>
      </c>
      <c r="D31">
        <f>A31*100+32</f>
        <v>232</v>
      </c>
      <c r="F31" s="11" t="s">
        <v>164</v>
      </c>
      <c r="H31" s="11"/>
    </row>
    <row r="32" spans="1:8" ht="14.25">
      <c r="A32" s="13">
        <f>Constants!$L$4</f>
        <v>2</v>
      </c>
      <c r="B32" s="13" t="str">
        <f>Constants!$M$4</f>
        <v>Coventry Godiva Harriers &amp; Sphinx AC</v>
      </c>
      <c r="C32" t="s">
        <v>42</v>
      </c>
      <c r="D32">
        <f>A32*100+33</f>
        <v>233</v>
      </c>
      <c r="F32" s="11" t="s">
        <v>163</v>
      </c>
      <c r="H32" s="11" t="s">
        <v>185</v>
      </c>
    </row>
    <row r="33" spans="1:8" ht="14.25">
      <c r="A33" s="13">
        <f>Constants!$L$4</f>
        <v>2</v>
      </c>
      <c r="B33" s="13" t="str">
        <f>Constants!$M$4</f>
        <v>Coventry Godiva Harriers &amp; Sphinx AC</v>
      </c>
      <c r="C33" t="s">
        <v>41</v>
      </c>
      <c r="D33">
        <f>A33*100+34</f>
        <v>234</v>
      </c>
      <c r="F33" s="11"/>
      <c r="H33" s="11"/>
    </row>
    <row r="34" spans="1:8" ht="14.25">
      <c r="A34" s="13">
        <f>Constants!$L$4</f>
        <v>2</v>
      </c>
      <c r="B34" s="13" t="str">
        <f>Constants!$M$4</f>
        <v>Coventry Godiva Harriers &amp; Sphinx AC</v>
      </c>
      <c r="C34" t="s">
        <v>43</v>
      </c>
      <c r="D34">
        <f>A34*100+35</f>
        <v>235</v>
      </c>
      <c r="F34" s="11"/>
      <c r="H34" s="11"/>
    </row>
    <row r="35" spans="1:8" ht="14.25">
      <c r="A35" s="13">
        <f>Constants!$L$4</f>
        <v>2</v>
      </c>
      <c r="B35" s="13" t="str">
        <f>Constants!$M$4</f>
        <v>Coventry Godiva Harriers &amp; Sphinx AC</v>
      </c>
      <c r="C35" t="s">
        <v>47</v>
      </c>
      <c r="D35">
        <f>A35*100+36</f>
        <v>236</v>
      </c>
      <c r="F35" s="11" t="s">
        <v>165</v>
      </c>
      <c r="H35" s="11"/>
    </row>
    <row r="36" spans="1:8" ht="14.25">
      <c r="A36" s="13">
        <f>Constants!$L$4</f>
        <v>2</v>
      </c>
      <c r="B36" s="13" t="str">
        <f>Constants!$M$4</f>
        <v>Coventry Godiva Harriers &amp; Sphinx AC</v>
      </c>
      <c r="C36" t="s">
        <v>44</v>
      </c>
      <c r="D36">
        <f>A36*100+37</f>
        <v>237</v>
      </c>
      <c r="F36" s="11" t="s">
        <v>161</v>
      </c>
      <c r="H36" s="11"/>
    </row>
    <row r="37" spans="1:8" ht="14.25">
      <c r="A37" s="13">
        <f>Constants!$L$4</f>
        <v>2</v>
      </c>
      <c r="B37" s="13" t="str">
        <f>Constants!$M$4</f>
        <v>Coventry Godiva Harriers &amp; Sphinx AC</v>
      </c>
      <c r="C37" t="s">
        <v>45</v>
      </c>
      <c r="D37">
        <f>A37*100+38</f>
        <v>238</v>
      </c>
      <c r="F37" s="11" t="s">
        <v>165</v>
      </c>
      <c r="H37" s="11" t="s">
        <v>185</v>
      </c>
    </row>
    <row r="38" spans="1:8" s="18" customFormat="1" ht="30" customHeight="1">
      <c r="A38" s="19">
        <f>Constants!$L$4</f>
        <v>2</v>
      </c>
      <c r="B38" s="19" t="str">
        <f>Constants!$M$4</f>
        <v>Coventry Godiva Harriers &amp; Sphinx AC</v>
      </c>
      <c r="C38" s="18" t="s">
        <v>25</v>
      </c>
      <c r="D38" s="18">
        <f>A38*100+41</f>
        <v>241</v>
      </c>
      <c r="F38" s="11" t="s">
        <v>166</v>
      </c>
      <c r="G38" s="20"/>
      <c r="H38" s="55"/>
    </row>
    <row r="39" spans="1:8" s="18" customFormat="1" ht="30" customHeight="1">
      <c r="A39" s="19">
        <f>Constants!$L$4</f>
        <v>2</v>
      </c>
      <c r="B39" s="19" t="str">
        <f>Constants!$M$4</f>
        <v>Coventry Godiva Harriers &amp; Sphinx AC</v>
      </c>
      <c r="C39" s="18" t="s">
        <v>26</v>
      </c>
      <c r="D39" s="18">
        <f>A39*100+44</f>
        <v>244</v>
      </c>
      <c r="F39" s="11" t="s">
        <v>167</v>
      </c>
      <c r="G39" s="20"/>
      <c r="H39" s="55"/>
    </row>
    <row r="40" spans="1:8" ht="14.25">
      <c r="A40">
        <f>Constants!$L$5</f>
        <v>3</v>
      </c>
      <c r="B40" t="str">
        <f>Constants!$M$5</f>
        <v>Derby AC</v>
      </c>
      <c r="C40" t="s">
        <v>18</v>
      </c>
      <c r="D40">
        <f>A40*100+1</f>
        <v>301</v>
      </c>
      <c r="F40" s="11" t="s">
        <v>202</v>
      </c>
      <c r="H40" s="11" t="s">
        <v>203</v>
      </c>
    </row>
    <row r="41" spans="1:8" ht="14.25">
      <c r="A41" s="13">
        <f>Constants!$L$5</f>
        <v>3</v>
      </c>
      <c r="B41" s="13" t="str">
        <f>Constants!$M$5</f>
        <v>Derby AC</v>
      </c>
      <c r="C41" t="s">
        <v>19</v>
      </c>
      <c r="D41">
        <f>A41*100+2</f>
        <v>302</v>
      </c>
      <c r="F41" s="11" t="s">
        <v>203</v>
      </c>
      <c r="H41" s="11" t="s">
        <v>204</v>
      </c>
    </row>
    <row r="42" spans="1:8" ht="14.25">
      <c r="A42" s="13">
        <f>Constants!$L$5</f>
        <v>3</v>
      </c>
      <c r="B42" s="13" t="str">
        <f>Constants!$M$5</f>
        <v>Derby AC</v>
      </c>
      <c r="C42" t="s">
        <v>20</v>
      </c>
      <c r="D42">
        <f>A42*100+4</f>
        <v>304</v>
      </c>
      <c r="F42" s="11" t="s">
        <v>204</v>
      </c>
      <c r="H42" s="11" t="s">
        <v>210</v>
      </c>
    </row>
    <row r="43" spans="1:8" ht="14.25">
      <c r="A43" s="13">
        <f>Constants!$L$5</f>
        <v>3</v>
      </c>
      <c r="B43" s="13" t="str">
        <f>Constants!$M$5</f>
        <v>Derby AC</v>
      </c>
      <c r="C43" t="s">
        <v>21</v>
      </c>
      <c r="D43">
        <f>A43*100+8</f>
        <v>308</v>
      </c>
      <c r="F43" s="11" t="s">
        <v>205</v>
      </c>
      <c r="H43" s="11" t="s">
        <v>211</v>
      </c>
    </row>
    <row r="44" spans="1:8" ht="14.25">
      <c r="A44" s="13">
        <f>Constants!$L$5</f>
        <v>3</v>
      </c>
      <c r="B44" s="13" t="str">
        <f>Constants!$M$5</f>
        <v>Derby AC</v>
      </c>
      <c r="C44" t="s">
        <v>22</v>
      </c>
      <c r="D44">
        <f>A44*100+15</f>
        <v>315</v>
      </c>
      <c r="F44" s="11" t="s">
        <v>206</v>
      </c>
      <c r="H44" s="11" t="s">
        <v>212</v>
      </c>
    </row>
    <row r="45" spans="1:8" ht="14.25">
      <c r="A45" s="13">
        <f>Constants!$L$5</f>
        <v>3</v>
      </c>
      <c r="B45" s="13" t="str">
        <f>Constants!$M$5</f>
        <v>Derby AC</v>
      </c>
      <c r="C45" t="s">
        <v>129</v>
      </c>
      <c r="D45">
        <f>A45*100+16</f>
        <v>316</v>
      </c>
      <c r="F45" s="11" t="s">
        <v>207</v>
      </c>
      <c r="H45" s="11" t="s">
        <v>208</v>
      </c>
    </row>
    <row r="46" spans="1:8" ht="14.25">
      <c r="A46" s="13">
        <f>Constants!$L$5</f>
        <v>3</v>
      </c>
      <c r="B46" s="13" t="str">
        <f>Constants!$M$3</f>
        <v>Cannock &amp; Staffs AC</v>
      </c>
      <c r="C46" t="s">
        <v>130</v>
      </c>
      <c r="D46">
        <f>A46*100+19</f>
        <v>319</v>
      </c>
      <c r="F46" s="11" t="s">
        <v>206</v>
      </c>
      <c r="H46" s="11"/>
    </row>
    <row r="47" spans="1:8" ht="14.25">
      <c r="A47" s="13">
        <f>Constants!$L$5</f>
        <v>3</v>
      </c>
      <c r="B47" s="13" t="str">
        <f>Constants!$M$5</f>
        <v>Derby AC</v>
      </c>
      <c r="C47" t="s">
        <v>87</v>
      </c>
      <c r="D47">
        <f>A47*100+21</f>
        <v>321</v>
      </c>
      <c r="F47" s="11" t="s">
        <v>202</v>
      </c>
      <c r="H47" s="11"/>
    </row>
    <row r="48" spans="1:8" ht="14.25">
      <c r="A48" s="13">
        <f>Constants!$L$5</f>
        <v>3</v>
      </c>
      <c r="B48" s="13" t="str">
        <f>Constants!$M$5</f>
        <v>Derby AC</v>
      </c>
      <c r="C48" t="s">
        <v>24</v>
      </c>
      <c r="D48">
        <f>A48*100+24</f>
        <v>324</v>
      </c>
      <c r="F48" s="11" t="s">
        <v>208</v>
      </c>
      <c r="H48" s="11"/>
    </row>
    <row r="49" spans="1:8" ht="14.25">
      <c r="A49" s="13">
        <f>Constants!$L$5</f>
        <v>3</v>
      </c>
      <c r="B49" s="13" t="str">
        <f>Constants!$M$5</f>
        <v>Derby AC</v>
      </c>
      <c r="C49" t="s">
        <v>57</v>
      </c>
      <c r="D49">
        <f>A49*100+31</f>
        <v>331</v>
      </c>
      <c r="F49" s="11" t="s">
        <v>203</v>
      </c>
      <c r="H49" s="11" t="s">
        <v>213</v>
      </c>
    </row>
    <row r="50" spans="1:8" ht="14.25">
      <c r="A50" s="13">
        <f>Constants!$L$5</f>
        <v>3</v>
      </c>
      <c r="B50" s="13" t="str">
        <f>Constants!$M$5</f>
        <v>Derby AC</v>
      </c>
      <c r="C50" t="s">
        <v>40</v>
      </c>
      <c r="D50">
        <f>A50*100+32</f>
        <v>332</v>
      </c>
      <c r="F50" s="11" t="s">
        <v>213</v>
      </c>
      <c r="H50" s="11" t="s">
        <v>214</v>
      </c>
    </row>
    <row r="51" spans="1:8" ht="14.25">
      <c r="A51" s="13">
        <f>Constants!$L$5</f>
        <v>3</v>
      </c>
      <c r="B51" s="13" t="str">
        <f>Constants!$M$5</f>
        <v>Derby AC</v>
      </c>
      <c r="C51" t="s">
        <v>42</v>
      </c>
      <c r="D51">
        <f>A51*100+33</f>
        <v>333</v>
      </c>
      <c r="F51" s="11"/>
      <c r="H51" s="11"/>
    </row>
    <row r="52" spans="1:8" ht="14.25">
      <c r="A52" s="13">
        <f>Constants!$L$5</f>
        <v>3</v>
      </c>
      <c r="B52" s="13" t="str">
        <f>Constants!$M$5</f>
        <v>Derby AC</v>
      </c>
      <c r="C52" t="s">
        <v>41</v>
      </c>
      <c r="D52">
        <f>A52*100+34</f>
        <v>334</v>
      </c>
      <c r="F52" s="11" t="s">
        <v>203</v>
      </c>
      <c r="H52" s="11" t="s">
        <v>207</v>
      </c>
    </row>
    <row r="53" spans="1:8" ht="14.25">
      <c r="A53" s="13">
        <f>Constants!$L$5</f>
        <v>3</v>
      </c>
      <c r="B53" s="13" t="str">
        <f>Constants!$M$5</f>
        <v>Derby AC</v>
      </c>
      <c r="C53" t="s">
        <v>43</v>
      </c>
      <c r="D53">
        <f>A53*100+35</f>
        <v>335</v>
      </c>
      <c r="F53" s="11" t="s">
        <v>202</v>
      </c>
      <c r="H53" s="11"/>
    </row>
    <row r="54" spans="1:8" ht="14.25">
      <c r="A54" s="13">
        <f>Constants!$L$5</f>
        <v>3</v>
      </c>
      <c r="B54" s="13" t="str">
        <f>Constants!$M$5</f>
        <v>Derby AC</v>
      </c>
      <c r="C54" t="s">
        <v>47</v>
      </c>
      <c r="D54">
        <f>A54*100+36</f>
        <v>336</v>
      </c>
      <c r="F54" s="11"/>
      <c r="H54" s="11"/>
    </row>
    <row r="55" spans="1:8" ht="14.25">
      <c r="A55" s="13">
        <f>Constants!$L$5</f>
        <v>3</v>
      </c>
      <c r="B55" s="13" t="str">
        <f>Constants!$M$5</f>
        <v>Derby AC</v>
      </c>
      <c r="C55" t="s">
        <v>44</v>
      </c>
      <c r="D55">
        <f>A55*100+37</f>
        <v>337</v>
      </c>
      <c r="F55" s="11" t="s">
        <v>209</v>
      </c>
      <c r="H55" s="11"/>
    </row>
    <row r="56" spans="1:8" ht="14.25">
      <c r="A56" s="13">
        <f>Constants!$L$5</f>
        <v>3</v>
      </c>
      <c r="B56" s="13" t="str">
        <f>Constants!$M$5</f>
        <v>Derby AC</v>
      </c>
      <c r="C56" t="s">
        <v>45</v>
      </c>
      <c r="D56">
        <f>A56*100+38</f>
        <v>338</v>
      </c>
      <c r="F56" s="11" t="s">
        <v>209</v>
      </c>
      <c r="H56" s="11"/>
    </row>
    <row r="57" spans="1:8" s="18" customFormat="1" ht="30.75" customHeight="1">
      <c r="A57" s="19">
        <f>Constants!$L$5</f>
        <v>3</v>
      </c>
      <c r="B57" s="19" t="str">
        <f>Constants!$M$5</f>
        <v>Derby AC</v>
      </c>
      <c r="C57" s="18" t="s">
        <v>25</v>
      </c>
      <c r="D57" s="18">
        <f>A57*100+41</f>
        <v>341</v>
      </c>
      <c r="F57" s="11" t="s">
        <v>323</v>
      </c>
      <c r="G57" s="20"/>
      <c r="H57" s="56"/>
    </row>
    <row r="58" spans="1:8" s="18" customFormat="1" ht="30.75" customHeight="1">
      <c r="A58" s="19">
        <f>Constants!$L$5</f>
        <v>3</v>
      </c>
      <c r="B58" s="19" t="str">
        <f>Constants!$M$5</f>
        <v>Derby AC</v>
      </c>
      <c r="C58" s="18" t="s">
        <v>26</v>
      </c>
      <c r="D58" s="18">
        <f>A58*100+44</f>
        <v>344</v>
      </c>
      <c r="F58" s="11" t="s">
        <v>324</v>
      </c>
      <c r="G58" s="20"/>
      <c r="H58" s="56"/>
    </row>
    <row r="59" spans="1:8" ht="14.25">
      <c r="A59">
        <f>Constants!$L$6</f>
        <v>4</v>
      </c>
      <c r="B59" t="str">
        <f>Constants!$M$6</f>
        <v>Leicester Coritanian AC</v>
      </c>
      <c r="C59" t="s">
        <v>18</v>
      </c>
      <c r="D59">
        <f>A59*100+1</f>
        <v>401</v>
      </c>
      <c r="F59" s="11" t="s">
        <v>155</v>
      </c>
      <c r="H59" s="11"/>
    </row>
    <row r="60" spans="1:8" ht="14.25">
      <c r="A60" s="13">
        <f>Constants!$L$6</f>
        <v>4</v>
      </c>
      <c r="B60" s="13" t="str">
        <f>Constants!$M$6</f>
        <v>Leicester Coritanian AC</v>
      </c>
      <c r="C60" t="s">
        <v>19</v>
      </c>
      <c r="D60">
        <f>A60*100+2</f>
        <v>402</v>
      </c>
      <c r="F60" s="11" t="s">
        <v>155</v>
      </c>
      <c r="H60" s="11"/>
    </row>
    <row r="61" spans="1:8" ht="14.25">
      <c r="A61" s="13">
        <f>Constants!$L$6</f>
        <v>4</v>
      </c>
      <c r="B61" s="13" t="str">
        <f>Constants!$M$6</f>
        <v>Leicester Coritanian AC</v>
      </c>
      <c r="C61" t="s">
        <v>20</v>
      </c>
      <c r="D61">
        <f>A61*100+4</f>
        <v>404</v>
      </c>
      <c r="F61" s="11"/>
      <c r="H61" s="11"/>
    </row>
    <row r="62" spans="1:8" ht="14.25">
      <c r="A62" s="13">
        <f>Constants!$L$6</f>
        <v>4</v>
      </c>
      <c r="B62" s="13" t="str">
        <f>Constants!$M$6</f>
        <v>Leicester Coritanian AC</v>
      </c>
      <c r="C62" t="s">
        <v>21</v>
      </c>
      <c r="D62">
        <f>A62*100+8</f>
        <v>408</v>
      </c>
      <c r="F62" s="11"/>
      <c r="H62" s="11"/>
    </row>
    <row r="63" spans="1:8" ht="14.25">
      <c r="A63" s="13">
        <f>Constants!$L$6</f>
        <v>4</v>
      </c>
      <c r="B63" s="13" t="str">
        <f>Constants!$M$6</f>
        <v>Leicester Coritanian AC</v>
      </c>
      <c r="C63" t="s">
        <v>22</v>
      </c>
      <c r="D63">
        <f>A63*100+15</f>
        <v>415</v>
      </c>
      <c r="F63" s="11" t="s">
        <v>156</v>
      </c>
      <c r="H63" s="11"/>
    </row>
    <row r="64" spans="1:8" ht="14.25">
      <c r="A64" s="13">
        <f>Constants!$L$6</f>
        <v>4</v>
      </c>
      <c r="B64" s="13" t="str">
        <f>Constants!$M$6</f>
        <v>Leicester Coritanian AC</v>
      </c>
      <c r="C64" t="s">
        <v>129</v>
      </c>
      <c r="D64">
        <f>A64*100+16</f>
        <v>416</v>
      </c>
      <c r="F64" s="11"/>
      <c r="H64" s="11"/>
    </row>
    <row r="65" spans="1:8" ht="14.25">
      <c r="A65" s="13">
        <f>Constants!$L$6</f>
        <v>4</v>
      </c>
      <c r="B65" s="13" t="str">
        <f>Constants!$M$3</f>
        <v>Cannock &amp; Staffs AC</v>
      </c>
      <c r="C65" t="s">
        <v>130</v>
      </c>
      <c r="D65">
        <f>A65*100+19</f>
        <v>419</v>
      </c>
      <c r="F65" s="11"/>
      <c r="H65" s="11"/>
    </row>
    <row r="66" spans="1:8" ht="14.25">
      <c r="A66" s="13">
        <f>Constants!$L$6</f>
        <v>4</v>
      </c>
      <c r="B66" s="13" t="str">
        <f>Constants!$M$6</f>
        <v>Leicester Coritanian AC</v>
      </c>
      <c r="C66" t="s">
        <v>87</v>
      </c>
      <c r="D66">
        <f>A66*100+21</f>
        <v>421</v>
      </c>
      <c r="F66" s="11"/>
      <c r="H66" s="11"/>
    </row>
    <row r="67" spans="1:8" ht="14.25">
      <c r="A67" s="13">
        <f>Constants!$L$6</f>
        <v>4</v>
      </c>
      <c r="B67" s="13" t="str">
        <f>Constants!$M$6</f>
        <v>Leicester Coritanian AC</v>
      </c>
      <c r="C67" t="s">
        <v>24</v>
      </c>
      <c r="D67">
        <f>A67*100+24</f>
        <v>424</v>
      </c>
      <c r="F67" s="11"/>
      <c r="H67" s="11"/>
    </row>
    <row r="68" spans="1:8" ht="14.25">
      <c r="A68" s="13">
        <f>Constants!$L$6</f>
        <v>4</v>
      </c>
      <c r="B68" s="13" t="str">
        <f>Constants!$M$6</f>
        <v>Leicester Coritanian AC</v>
      </c>
      <c r="C68" t="s">
        <v>57</v>
      </c>
      <c r="D68">
        <f>A68*100+31</f>
        <v>431</v>
      </c>
      <c r="F68" s="11" t="s">
        <v>157</v>
      </c>
      <c r="H68" s="11"/>
    </row>
    <row r="69" spans="1:8" ht="14.25">
      <c r="A69" s="13">
        <f>Constants!$L$6</f>
        <v>4</v>
      </c>
      <c r="B69" s="13" t="str">
        <f>Constants!$M$6</f>
        <v>Leicester Coritanian AC</v>
      </c>
      <c r="C69" t="s">
        <v>40</v>
      </c>
      <c r="D69">
        <f>A69*100+32</f>
        <v>432</v>
      </c>
      <c r="F69" s="11"/>
      <c r="H69" s="11"/>
    </row>
    <row r="70" spans="1:8" ht="14.25">
      <c r="A70" s="13">
        <f>Constants!$L$6</f>
        <v>4</v>
      </c>
      <c r="B70" s="13" t="str">
        <f>Constants!$M$6</f>
        <v>Leicester Coritanian AC</v>
      </c>
      <c r="C70" t="s">
        <v>42</v>
      </c>
      <c r="D70">
        <f>A70*100+33</f>
        <v>433</v>
      </c>
      <c r="F70" s="11"/>
      <c r="H70" s="11"/>
    </row>
    <row r="71" spans="1:8" ht="14.25">
      <c r="A71" s="13">
        <f>Constants!$L$6</f>
        <v>4</v>
      </c>
      <c r="B71" s="13" t="str">
        <f>Constants!$M$6</f>
        <v>Leicester Coritanian AC</v>
      </c>
      <c r="C71" t="s">
        <v>41</v>
      </c>
      <c r="D71">
        <f>A71*100+34</f>
        <v>434</v>
      </c>
      <c r="F71" s="11"/>
      <c r="H71" s="11"/>
    </row>
    <row r="72" spans="1:8" ht="14.25">
      <c r="A72" s="13">
        <f>Constants!$L$6</f>
        <v>4</v>
      </c>
      <c r="B72" s="13" t="str">
        <f>Constants!$M$6</f>
        <v>Leicester Coritanian AC</v>
      </c>
      <c r="C72" t="s">
        <v>43</v>
      </c>
      <c r="D72">
        <f>A72*100+35</f>
        <v>435</v>
      </c>
      <c r="F72" s="11"/>
      <c r="H72" s="11"/>
    </row>
    <row r="73" spans="1:8" ht="14.25">
      <c r="A73" s="13">
        <f>Constants!$L$6</f>
        <v>4</v>
      </c>
      <c r="B73" s="13" t="str">
        <f>Constants!$M$6</f>
        <v>Leicester Coritanian AC</v>
      </c>
      <c r="C73" t="s">
        <v>47</v>
      </c>
      <c r="D73">
        <f>A73*100+36</f>
        <v>436</v>
      </c>
      <c r="F73" s="11"/>
      <c r="H73" s="11"/>
    </row>
    <row r="74" spans="1:8" ht="14.25">
      <c r="A74" s="13">
        <f>Constants!$L$6</f>
        <v>4</v>
      </c>
      <c r="B74" s="13" t="str">
        <f>Constants!$M$6</f>
        <v>Leicester Coritanian AC</v>
      </c>
      <c r="C74" t="s">
        <v>44</v>
      </c>
      <c r="D74">
        <f>A74*100+37</f>
        <v>437</v>
      </c>
      <c r="F74" s="11"/>
      <c r="H74" s="11"/>
    </row>
    <row r="75" spans="1:8" ht="14.25">
      <c r="A75" s="13">
        <f>Constants!$L$6</f>
        <v>4</v>
      </c>
      <c r="B75" s="13" t="str">
        <f>Constants!$M$6</f>
        <v>Leicester Coritanian AC</v>
      </c>
      <c r="C75" t="s">
        <v>45</v>
      </c>
      <c r="D75">
        <f>A75*100+38</f>
        <v>438</v>
      </c>
      <c r="F75" s="11"/>
      <c r="H75" s="11"/>
    </row>
    <row r="76" spans="1:8" s="18" customFormat="1" ht="30" customHeight="1">
      <c r="A76" s="19">
        <f>Constants!$L$6</f>
        <v>4</v>
      </c>
      <c r="B76" s="19" t="str">
        <f>Constants!$M$6</f>
        <v>Leicester Coritanian AC</v>
      </c>
      <c r="C76" s="18" t="s">
        <v>25</v>
      </c>
      <c r="D76" s="18">
        <f>A76*100+41</f>
        <v>441</v>
      </c>
      <c r="F76" s="11"/>
      <c r="G76" s="20"/>
      <c r="H76" s="55"/>
    </row>
    <row r="77" spans="1:8" s="18" customFormat="1" ht="30.75" customHeight="1">
      <c r="A77" s="19">
        <f>Constants!$L$6</f>
        <v>4</v>
      </c>
      <c r="B77" s="19" t="str">
        <f>Constants!$M$6</f>
        <v>Leicester Coritanian AC</v>
      </c>
      <c r="C77" s="18" t="s">
        <v>26</v>
      </c>
      <c r="D77" s="18">
        <f>A77*100+44</f>
        <v>444</v>
      </c>
      <c r="F77" s="11"/>
      <c r="G77" s="20"/>
      <c r="H77" s="55"/>
    </row>
    <row r="78" spans="1:8" ht="14.25">
      <c r="A78">
        <f>Constants!$L$7</f>
        <v>5</v>
      </c>
      <c r="B78" t="str">
        <f>Constants!$M$7</f>
        <v>Nuneaton Harriers</v>
      </c>
      <c r="C78" t="s">
        <v>18</v>
      </c>
      <c r="D78">
        <f>A78*100+1</f>
        <v>501</v>
      </c>
      <c r="F78" s="11"/>
      <c r="H78" s="11"/>
    </row>
    <row r="79" spans="1:8" ht="14.25">
      <c r="A79" s="13">
        <f>Constants!$L$7</f>
        <v>5</v>
      </c>
      <c r="B79" s="13" t="str">
        <f>Constants!$M$7</f>
        <v>Nuneaton Harriers</v>
      </c>
      <c r="C79" t="s">
        <v>19</v>
      </c>
      <c r="D79">
        <f>A79*100+2</f>
        <v>502</v>
      </c>
      <c r="F79" s="11"/>
      <c r="H79" s="11"/>
    </row>
    <row r="80" spans="1:8" ht="14.25">
      <c r="A80" s="13">
        <f>Constants!$L$7</f>
        <v>5</v>
      </c>
      <c r="B80" s="13" t="str">
        <f>Constants!$M$7</f>
        <v>Nuneaton Harriers</v>
      </c>
      <c r="C80" t="s">
        <v>20</v>
      </c>
      <c r="D80">
        <f>A80*100+4</f>
        <v>504</v>
      </c>
      <c r="F80" s="11"/>
      <c r="H80" s="11"/>
    </row>
    <row r="81" spans="1:8" ht="14.25">
      <c r="A81" s="13">
        <f>Constants!$L$7</f>
        <v>5</v>
      </c>
      <c r="B81" s="13" t="str">
        <f>Constants!$M$7</f>
        <v>Nuneaton Harriers</v>
      </c>
      <c r="C81" t="s">
        <v>21</v>
      </c>
      <c r="D81">
        <f>A81*100+8</f>
        <v>508</v>
      </c>
      <c r="F81" s="11" t="s">
        <v>186</v>
      </c>
      <c r="H81" s="11"/>
    </row>
    <row r="82" spans="1:8" ht="14.25">
      <c r="A82" s="13">
        <f>Constants!$L$7</f>
        <v>5</v>
      </c>
      <c r="B82" s="13" t="str">
        <f>Constants!$M$7</f>
        <v>Nuneaton Harriers</v>
      </c>
      <c r="C82" t="s">
        <v>22</v>
      </c>
      <c r="D82">
        <f>A82*100+15</f>
        <v>515</v>
      </c>
      <c r="F82" s="11"/>
      <c r="H82" s="11"/>
    </row>
    <row r="83" spans="1:8" ht="14.25">
      <c r="A83" s="13">
        <f>Constants!$L$7</f>
        <v>5</v>
      </c>
      <c r="B83" s="13" t="str">
        <f>Constants!$M$7</f>
        <v>Nuneaton Harriers</v>
      </c>
      <c r="C83" t="s">
        <v>129</v>
      </c>
      <c r="D83">
        <f>A83*100+16</f>
        <v>516</v>
      </c>
      <c r="F83" s="11"/>
      <c r="H83" s="11"/>
    </row>
    <row r="84" spans="1:8" ht="14.25">
      <c r="A84" s="13">
        <f>Constants!$L$7</f>
        <v>5</v>
      </c>
      <c r="B84" s="13" t="str">
        <f>Constants!$M$3</f>
        <v>Cannock &amp; Staffs AC</v>
      </c>
      <c r="C84" t="s">
        <v>130</v>
      </c>
      <c r="D84">
        <f>A84*100+19</f>
        <v>519</v>
      </c>
      <c r="F84" s="11" t="s">
        <v>187</v>
      </c>
      <c r="H84" s="11"/>
    </row>
    <row r="85" spans="1:8" ht="14.25">
      <c r="A85" s="13">
        <f>Constants!$L$7</f>
        <v>5</v>
      </c>
      <c r="B85" s="13" t="str">
        <f>Constants!$M$7</f>
        <v>Nuneaton Harriers</v>
      </c>
      <c r="C85" t="s">
        <v>87</v>
      </c>
      <c r="D85">
        <f>A85*100+21</f>
        <v>521</v>
      </c>
      <c r="F85" s="11"/>
      <c r="H85" s="11"/>
    </row>
    <row r="86" spans="1:8" ht="14.25">
      <c r="A86" s="13">
        <f>Constants!$L$7</f>
        <v>5</v>
      </c>
      <c r="B86" s="13" t="str">
        <f>Constants!$M$7</f>
        <v>Nuneaton Harriers</v>
      </c>
      <c r="C86" t="s">
        <v>24</v>
      </c>
      <c r="D86">
        <f>A86*100+24</f>
        <v>524</v>
      </c>
      <c r="F86" s="11"/>
      <c r="H86" s="11"/>
    </row>
    <row r="87" spans="1:8" ht="14.25">
      <c r="A87" s="13">
        <f>Constants!$L$7</f>
        <v>5</v>
      </c>
      <c r="B87" s="13" t="str">
        <f>Constants!$M$7</f>
        <v>Nuneaton Harriers</v>
      </c>
      <c r="C87" t="s">
        <v>57</v>
      </c>
      <c r="D87">
        <f>A87*100+31</f>
        <v>531</v>
      </c>
      <c r="F87" s="11" t="s">
        <v>186</v>
      </c>
      <c r="H87" s="11"/>
    </row>
    <row r="88" spans="1:8" ht="14.25">
      <c r="A88" s="13">
        <f>Constants!$L$7</f>
        <v>5</v>
      </c>
      <c r="B88" s="13" t="str">
        <f>Constants!$M$7</f>
        <v>Nuneaton Harriers</v>
      </c>
      <c r="C88" t="s">
        <v>40</v>
      </c>
      <c r="D88">
        <f>A88*100+32</f>
        <v>532</v>
      </c>
      <c r="F88" s="11"/>
      <c r="H88" s="11"/>
    </row>
    <row r="89" spans="1:8" ht="14.25">
      <c r="A89" s="13">
        <f>Constants!$L$7</f>
        <v>5</v>
      </c>
      <c r="B89" s="13" t="str">
        <f>Constants!$M$7</f>
        <v>Nuneaton Harriers</v>
      </c>
      <c r="C89" t="s">
        <v>42</v>
      </c>
      <c r="D89">
        <f>A89*100+33</f>
        <v>533</v>
      </c>
      <c r="F89" s="11" t="s">
        <v>187</v>
      </c>
      <c r="H89" s="11"/>
    </row>
    <row r="90" spans="1:8" ht="14.25">
      <c r="A90" s="13">
        <f>Constants!$L$7</f>
        <v>5</v>
      </c>
      <c r="B90" s="13" t="str">
        <f>Constants!$M$7</f>
        <v>Nuneaton Harriers</v>
      </c>
      <c r="C90" t="s">
        <v>41</v>
      </c>
      <c r="D90">
        <f>A90*100+34</f>
        <v>534</v>
      </c>
      <c r="F90" s="11"/>
      <c r="H90" s="11"/>
    </row>
    <row r="91" spans="1:8" ht="14.25">
      <c r="A91" s="13">
        <f>Constants!$L$7</f>
        <v>5</v>
      </c>
      <c r="B91" s="13" t="str">
        <f>Constants!$M$7</f>
        <v>Nuneaton Harriers</v>
      </c>
      <c r="C91" t="s">
        <v>43</v>
      </c>
      <c r="D91">
        <f>A91*100+35</f>
        <v>535</v>
      </c>
      <c r="F91" s="11"/>
      <c r="H91" s="11"/>
    </row>
    <row r="92" spans="1:8" ht="14.25">
      <c r="A92" s="13">
        <f>Constants!$L$7</f>
        <v>5</v>
      </c>
      <c r="B92" s="13" t="str">
        <f>Constants!$M$7</f>
        <v>Nuneaton Harriers</v>
      </c>
      <c r="C92" t="s">
        <v>47</v>
      </c>
      <c r="D92">
        <f>A92*100+36</f>
        <v>536</v>
      </c>
      <c r="F92" s="11" t="s">
        <v>186</v>
      </c>
      <c r="H92" s="11"/>
    </row>
    <row r="93" spans="1:8" ht="14.25">
      <c r="A93" s="13">
        <f>Constants!$L$7</f>
        <v>5</v>
      </c>
      <c r="B93" s="13" t="str">
        <f>Constants!$M$7</f>
        <v>Nuneaton Harriers</v>
      </c>
      <c r="C93" t="s">
        <v>44</v>
      </c>
      <c r="D93">
        <f>A93*100+37</f>
        <v>537</v>
      </c>
      <c r="F93" s="11" t="s">
        <v>186</v>
      </c>
      <c r="H93" s="11"/>
    </row>
    <row r="94" spans="1:8" ht="14.25">
      <c r="A94" s="13">
        <f>Constants!$L$7</f>
        <v>5</v>
      </c>
      <c r="B94" s="13" t="str">
        <f>Constants!$M$7</f>
        <v>Nuneaton Harriers</v>
      </c>
      <c r="C94" t="s">
        <v>45</v>
      </c>
      <c r="D94">
        <f>A94*100+38</f>
        <v>538</v>
      </c>
      <c r="F94" s="11" t="s">
        <v>187</v>
      </c>
      <c r="H94" s="11"/>
    </row>
    <row r="95" spans="1:8" s="18" customFormat="1" ht="30" customHeight="1">
      <c r="A95" s="19">
        <f>Constants!$L$7</f>
        <v>5</v>
      </c>
      <c r="B95" s="19" t="str">
        <f>Constants!$M$7</f>
        <v>Nuneaton Harriers</v>
      </c>
      <c r="C95" s="18" t="s">
        <v>25</v>
      </c>
      <c r="D95" s="18">
        <f>A95*100+41</f>
        <v>541</v>
      </c>
      <c r="F95" s="11"/>
      <c r="G95" s="20"/>
      <c r="H95" s="55"/>
    </row>
    <row r="96" spans="1:8" s="18" customFormat="1" ht="30.75" customHeight="1">
      <c r="A96" s="19">
        <f>Constants!$L$7</f>
        <v>5</v>
      </c>
      <c r="B96" s="19" t="str">
        <f>Constants!$M$7</f>
        <v>Nuneaton Harriers</v>
      </c>
      <c r="C96" s="18" t="s">
        <v>26</v>
      </c>
      <c r="D96" s="18">
        <f>A96*100+44</f>
        <v>544</v>
      </c>
      <c r="F96" s="11"/>
      <c r="G96" s="20"/>
      <c r="H96" s="55"/>
    </row>
    <row r="97" spans="1:8" ht="14.25">
      <c r="A97">
        <f>Constants!$L$8</f>
        <v>6</v>
      </c>
      <c r="B97" t="str">
        <f>Constants!$M$8</f>
        <v>Rugby &amp; Northampton AC</v>
      </c>
      <c r="C97" t="s">
        <v>18</v>
      </c>
      <c r="D97">
        <f>A97*100+1</f>
        <v>601</v>
      </c>
      <c r="F97" s="11" t="s">
        <v>133</v>
      </c>
      <c r="H97" s="11" t="s">
        <v>141</v>
      </c>
    </row>
    <row r="98" spans="1:8" ht="14.25">
      <c r="A98" s="13">
        <f>Constants!$L$8</f>
        <v>6</v>
      </c>
      <c r="B98" s="13" t="str">
        <f>Constants!$M$8</f>
        <v>Rugby &amp; Northampton AC</v>
      </c>
      <c r="C98" t="s">
        <v>19</v>
      </c>
      <c r="D98">
        <f>A98*100+2</f>
        <v>602</v>
      </c>
      <c r="F98" s="11" t="s">
        <v>133</v>
      </c>
      <c r="H98" s="11" t="s">
        <v>141</v>
      </c>
    </row>
    <row r="99" spans="1:8" ht="14.25">
      <c r="A99" s="13">
        <f>Constants!$L$8</f>
        <v>6</v>
      </c>
      <c r="B99" s="13" t="str">
        <f>Constants!$M$8</f>
        <v>Rugby &amp; Northampton AC</v>
      </c>
      <c r="C99" t="s">
        <v>20</v>
      </c>
      <c r="D99">
        <f>A99*100+4</f>
        <v>604</v>
      </c>
      <c r="F99" s="11" t="s">
        <v>132</v>
      </c>
      <c r="H99" s="11" t="s">
        <v>142</v>
      </c>
    </row>
    <row r="100" spans="1:8" ht="14.25">
      <c r="A100" s="13">
        <f>Constants!$L$8</f>
        <v>6</v>
      </c>
      <c r="B100" s="13" t="str">
        <f>Constants!$M$8</f>
        <v>Rugby &amp; Northampton AC</v>
      </c>
      <c r="C100" t="s">
        <v>21</v>
      </c>
      <c r="D100">
        <f>A100*100+8</f>
        <v>608</v>
      </c>
      <c r="F100" s="11" t="s">
        <v>143</v>
      </c>
      <c r="H100" s="11"/>
    </row>
    <row r="101" spans="1:8" ht="14.25">
      <c r="A101" s="13">
        <f>Constants!$L$8</f>
        <v>6</v>
      </c>
      <c r="B101" s="13" t="str">
        <f>Constants!$M$8</f>
        <v>Rugby &amp; Northampton AC</v>
      </c>
      <c r="C101" t="s">
        <v>22</v>
      </c>
      <c r="D101">
        <f>A101*100+15</f>
        <v>615</v>
      </c>
      <c r="F101" s="11" t="s">
        <v>131</v>
      </c>
      <c r="H101" s="11" t="s">
        <v>144</v>
      </c>
    </row>
    <row r="102" spans="1:8" ht="14.25">
      <c r="A102" s="13">
        <f>Constants!$L$8</f>
        <v>6</v>
      </c>
      <c r="B102" s="13" t="str">
        <f>Constants!$M$8</f>
        <v>Rugby &amp; Northampton AC</v>
      </c>
      <c r="C102" t="s">
        <v>129</v>
      </c>
      <c r="D102">
        <f>A102*100+16</f>
        <v>616</v>
      </c>
      <c r="F102" s="11" t="s">
        <v>145</v>
      </c>
      <c r="H102" s="11" t="s">
        <v>134</v>
      </c>
    </row>
    <row r="103" spans="1:8" ht="14.25">
      <c r="A103" s="13">
        <f>Constants!$L$8</f>
        <v>6</v>
      </c>
      <c r="B103" s="13" t="str">
        <f>Constants!$M$3</f>
        <v>Cannock &amp; Staffs AC</v>
      </c>
      <c r="C103" t="s">
        <v>130</v>
      </c>
      <c r="D103">
        <f>A103*100+19</f>
        <v>619</v>
      </c>
      <c r="F103" s="11" t="s">
        <v>135</v>
      </c>
      <c r="H103" s="11" t="s">
        <v>146</v>
      </c>
    </row>
    <row r="104" spans="1:8" ht="14.25">
      <c r="A104" s="13">
        <f>Constants!$L$8</f>
        <v>6</v>
      </c>
      <c r="B104" s="13" t="str">
        <f>Constants!$M$8</f>
        <v>Rugby &amp; Northampton AC</v>
      </c>
      <c r="C104" t="s">
        <v>87</v>
      </c>
      <c r="D104">
        <f>A104*100+21</f>
        <v>621</v>
      </c>
      <c r="F104" s="11"/>
      <c r="H104" s="11"/>
    </row>
    <row r="105" spans="1:8" ht="14.25">
      <c r="A105" s="13">
        <f>Constants!$L$8</f>
        <v>6</v>
      </c>
      <c r="B105" s="13" t="str">
        <f>Constants!$M$8</f>
        <v>Rugby &amp; Northampton AC</v>
      </c>
      <c r="C105" t="s">
        <v>24</v>
      </c>
      <c r="D105">
        <f>A105*100+24</f>
        <v>624</v>
      </c>
      <c r="F105" s="11"/>
      <c r="H105" s="11"/>
    </row>
    <row r="106" spans="1:8" ht="14.25">
      <c r="A106" s="13">
        <f>Constants!$L$8</f>
        <v>6</v>
      </c>
      <c r="B106" s="13" t="str">
        <f>Constants!$M$8</f>
        <v>Rugby &amp; Northampton AC</v>
      </c>
      <c r="C106" t="s">
        <v>57</v>
      </c>
      <c r="D106">
        <f>A106*100+31</f>
        <v>631</v>
      </c>
      <c r="F106" s="11" t="s">
        <v>136</v>
      </c>
      <c r="H106" s="11"/>
    </row>
    <row r="107" spans="1:8" ht="14.25">
      <c r="A107" s="13">
        <f>Constants!$L$8</f>
        <v>6</v>
      </c>
      <c r="B107" s="13" t="str">
        <f>Constants!$M$8</f>
        <v>Rugby &amp; Northampton AC</v>
      </c>
      <c r="C107" t="s">
        <v>40</v>
      </c>
      <c r="D107">
        <f>A107*100+32</f>
        <v>632</v>
      </c>
      <c r="F107" s="11" t="s">
        <v>137</v>
      </c>
      <c r="H107" s="11" t="s">
        <v>147</v>
      </c>
    </row>
    <row r="108" spans="1:8" ht="14.25">
      <c r="A108" s="13">
        <f>Constants!$L$8</f>
        <v>6</v>
      </c>
      <c r="B108" s="13" t="str">
        <f>Constants!$M$8</f>
        <v>Rugby &amp; Northampton AC</v>
      </c>
      <c r="C108" t="s">
        <v>42</v>
      </c>
      <c r="D108">
        <f>A108*100+33</f>
        <v>633</v>
      </c>
      <c r="F108" s="11" t="s">
        <v>137</v>
      </c>
      <c r="H108" s="11"/>
    </row>
    <row r="109" spans="1:8" ht="14.25">
      <c r="A109" s="13">
        <f>Constants!$L$8</f>
        <v>6</v>
      </c>
      <c r="B109" s="13" t="str">
        <f>Constants!$M$8</f>
        <v>Rugby &amp; Northampton AC</v>
      </c>
      <c r="C109" t="s">
        <v>41</v>
      </c>
      <c r="D109">
        <f>A109*100+34</f>
        <v>634</v>
      </c>
      <c r="F109" s="11" t="s">
        <v>136</v>
      </c>
      <c r="H109" s="11" t="s">
        <v>147</v>
      </c>
    </row>
    <row r="110" spans="1:8" ht="14.25">
      <c r="A110" s="13">
        <f>Constants!$L$8</f>
        <v>6</v>
      </c>
      <c r="B110" s="13" t="str">
        <f>Constants!$M$8</f>
        <v>Rugby &amp; Northampton AC</v>
      </c>
      <c r="C110" t="s">
        <v>43</v>
      </c>
      <c r="D110">
        <f>A110*100+35</f>
        <v>635</v>
      </c>
      <c r="F110" s="11" t="s">
        <v>138</v>
      </c>
      <c r="H110" s="11"/>
    </row>
    <row r="111" spans="1:8" ht="14.25">
      <c r="A111" s="13">
        <f>Constants!$L$8</f>
        <v>6</v>
      </c>
      <c r="B111" s="13" t="str">
        <f>Constants!$M$8</f>
        <v>Rugby &amp; Northampton AC</v>
      </c>
      <c r="C111" t="s">
        <v>47</v>
      </c>
      <c r="D111">
        <f>A111*100+36</f>
        <v>636</v>
      </c>
      <c r="F111" s="11" t="s">
        <v>147</v>
      </c>
      <c r="H111" s="11"/>
    </row>
    <row r="112" spans="1:8" ht="14.25">
      <c r="A112" s="13">
        <f>Constants!$L$8</f>
        <v>6</v>
      </c>
      <c r="B112" s="13" t="str">
        <f>Constants!$M$8</f>
        <v>Rugby &amp; Northampton AC</v>
      </c>
      <c r="C112" t="s">
        <v>44</v>
      </c>
      <c r="D112">
        <f>A112*100+37</f>
        <v>637</v>
      </c>
      <c r="F112" s="11" t="s">
        <v>136</v>
      </c>
      <c r="H112" s="11"/>
    </row>
    <row r="113" spans="1:8" ht="14.25">
      <c r="A113" s="13">
        <f>Constants!$L$8</f>
        <v>6</v>
      </c>
      <c r="B113" s="13" t="str">
        <f>Constants!$M$8</f>
        <v>Rugby &amp; Northampton AC</v>
      </c>
      <c r="C113" t="s">
        <v>45</v>
      </c>
      <c r="D113">
        <f>A113*100+38</f>
        <v>638</v>
      </c>
      <c r="F113" s="11" t="s">
        <v>136</v>
      </c>
      <c r="H113" s="11" t="s">
        <v>147</v>
      </c>
    </row>
    <row r="114" spans="1:8" s="18" customFormat="1" ht="30" customHeight="1">
      <c r="A114" s="19">
        <f>Constants!$L$8</f>
        <v>6</v>
      </c>
      <c r="B114" s="19" t="str">
        <f>Constants!$M$8</f>
        <v>Rugby &amp; Northampton AC</v>
      </c>
      <c r="C114" s="18" t="s">
        <v>25</v>
      </c>
      <c r="D114" s="18">
        <f>A114*100+41</f>
        <v>641</v>
      </c>
      <c r="F114" s="11" t="s">
        <v>139</v>
      </c>
      <c r="G114" s="20"/>
      <c r="H114" s="55"/>
    </row>
    <row r="115" spans="1:8" s="18" customFormat="1" ht="30.75" customHeight="1">
      <c r="A115" s="19">
        <f>Constants!$L$8</f>
        <v>6</v>
      </c>
      <c r="B115" s="19" t="str">
        <f>Constants!$M$8</f>
        <v>Rugby &amp; Northampton AC</v>
      </c>
      <c r="C115" s="18" t="s">
        <v>26</v>
      </c>
      <c r="D115" s="18">
        <f>A115*100+44</f>
        <v>644</v>
      </c>
      <c r="F115" s="11" t="s">
        <v>140</v>
      </c>
      <c r="G115" s="20"/>
      <c r="H115" s="55"/>
    </row>
    <row r="116" spans="1:8" ht="14.25">
      <c r="A116">
        <f>Constants!$L$9</f>
        <v>7</v>
      </c>
      <c r="B116" t="str">
        <f>Constants!$M$9</f>
        <v>Tamworth AC</v>
      </c>
      <c r="C116" t="s">
        <v>18</v>
      </c>
      <c r="D116">
        <f>A116*100+1</f>
        <v>701</v>
      </c>
      <c r="F116" s="11" t="s">
        <v>168</v>
      </c>
      <c r="H116" s="11" t="s">
        <v>177</v>
      </c>
    </row>
    <row r="117" spans="1:8" ht="14.25">
      <c r="A117" s="13">
        <f>Constants!$L$9</f>
        <v>7</v>
      </c>
      <c r="B117" s="13" t="str">
        <f>Constants!$M$9</f>
        <v>Tamworth AC</v>
      </c>
      <c r="C117" t="s">
        <v>19</v>
      </c>
      <c r="D117">
        <f>A117*100+2</f>
        <v>702</v>
      </c>
      <c r="F117" s="11" t="s">
        <v>168</v>
      </c>
      <c r="H117" s="11" t="s">
        <v>178</v>
      </c>
    </row>
    <row r="118" spans="1:8" ht="14.25">
      <c r="A118" s="13">
        <f>Constants!$L$9</f>
        <v>7</v>
      </c>
      <c r="B118" s="13" t="str">
        <f>Constants!$M$9</f>
        <v>Tamworth AC</v>
      </c>
      <c r="C118" t="s">
        <v>20</v>
      </c>
      <c r="D118">
        <f>A118*100+4</f>
        <v>704</v>
      </c>
      <c r="F118" s="11" t="s">
        <v>169</v>
      </c>
      <c r="H118" s="11" t="s">
        <v>170</v>
      </c>
    </row>
    <row r="119" spans="1:8" ht="14.25">
      <c r="A119" s="13">
        <f>Constants!$L$9</f>
        <v>7</v>
      </c>
      <c r="B119" s="13" t="str">
        <f>Constants!$M$9</f>
        <v>Tamworth AC</v>
      </c>
      <c r="C119" t="s">
        <v>21</v>
      </c>
      <c r="D119">
        <f>A119*100+8</f>
        <v>708</v>
      </c>
      <c r="F119" s="11" t="s">
        <v>170</v>
      </c>
      <c r="H119" s="11" t="s">
        <v>179</v>
      </c>
    </row>
    <row r="120" spans="1:8" ht="14.25">
      <c r="A120" s="13">
        <f>Constants!$L$9</f>
        <v>7</v>
      </c>
      <c r="B120" s="13" t="str">
        <f>Constants!$M$9</f>
        <v>Tamworth AC</v>
      </c>
      <c r="C120" t="s">
        <v>22</v>
      </c>
      <c r="D120">
        <f>A120*100+15</f>
        <v>715</v>
      </c>
      <c r="F120" s="11" t="s">
        <v>171</v>
      </c>
      <c r="H120" s="11" t="s">
        <v>179</v>
      </c>
    </row>
    <row r="121" spans="1:8" ht="14.25">
      <c r="A121" s="13">
        <f>Constants!$L$9</f>
        <v>7</v>
      </c>
      <c r="B121" s="13" t="str">
        <f>Constants!$M$9</f>
        <v>Tamworth AC</v>
      </c>
      <c r="C121" t="s">
        <v>129</v>
      </c>
      <c r="D121">
        <f>A121*100+16</f>
        <v>716</v>
      </c>
      <c r="F121" s="11" t="s">
        <v>171</v>
      </c>
      <c r="H121" s="11" t="s">
        <v>180</v>
      </c>
    </row>
    <row r="122" spans="1:8" ht="14.25">
      <c r="A122" s="13">
        <f>Constants!$L$9</f>
        <v>7</v>
      </c>
      <c r="B122" s="13" t="str">
        <f>Constants!$M$3</f>
        <v>Cannock &amp; Staffs AC</v>
      </c>
      <c r="C122" t="s">
        <v>130</v>
      </c>
      <c r="D122">
        <f>A122*100+19</f>
        <v>719</v>
      </c>
      <c r="F122" s="11" t="s">
        <v>172</v>
      </c>
      <c r="H122" s="11"/>
    </row>
    <row r="123" spans="1:8" ht="14.25">
      <c r="A123" s="13">
        <f>Constants!$L$9</f>
        <v>7</v>
      </c>
      <c r="B123" s="13" t="str">
        <f>Constants!$M$9</f>
        <v>Tamworth AC</v>
      </c>
      <c r="C123" t="s">
        <v>87</v>
      </c>
      <c r="D123">
        <f>A123*100+21</f>
        <v>721</v>
      </c>
      <c r="F123" s="11" t="s">
        <v>173</v>
      </c>
      <c r="H123" s="11" t="s">
        <v>181</v>
      </c>
    </row>
    <row r="124" spans="1:8" ht="14.25">
      <c r="A124" s="13">
        <f>Constants!$L$9</f>
        <v>7</v>
      </c>
      <c r="B124" s="13" t="str">
        <f>Constants!$M$9</f>
        <v>Tamworth AC</v>
      </c>
      <c r="C124" t="s">
        <v>24</v>
      </c>
      <c r="D124">
        <f>A124*100+24</f>
        <v>724</v>
      </c>
      <c r="F124" s="11" t="s">
        <v>173</v>
      </c>
      <c r="H124" s="11" t="s">
        <v>181</v>
      </c>
    </row>
    <row r="125" spans="1:8" ht="14.25">
      <c r="A125" s="13">
        <f>Constants!$L$9</f>
        <v>7</v>
      </c>
      <c r="B125" s="13" t="str">
        <f>Constants!$M$9</f>
        <v>Tamworth AC</v>
      </c>
      <c r="C125" t="s">
        <v>57</v>
      </c>
      <c r="D125">
        <f>A125*100+31</f>
        <v>731</v>
      </c>
      <c r="F125" s="11" t="s">
        <v>174</v>
      </c>
      <c r="H125" s="11" t="s">
        <v>182</v>
      </c>
    </row>
    <row r="126" spans="1:8" ht="14.25">
      <c r="A126" s="13">
        <f>Constants!$L$9</f>
        <v>7</v>
      </c>
      <c r="B126" s="13" t="str">
        <f>Constants!$M$9</f>
        <v>Tamworth AC</v>
      </c>
      <c r="C126" t="s">
        <v>40</v>
      </c>
      <c r="D126">
        <f>A126*100+32</f>
        <v>732</v>
      </c>
      <c r="F126" s="11" t="s">
        <v>173</v>
      </c>
      <c r="H126" s="11" t="s">
        <v>178</v>
      </c>
    </row>
    <row r="127" spans="1:8" ht="14.25">
      <c r="A127" s="13">
        <f>Constants!$L$9</f>
        <v>7</v>
      </c>
      <c r="B127" s="13" t="str">
        <f>Constants!$M$9</f>
        <v>Tamworth AC</v>
      </c>
      <c r="C127" t="s">
        <v>42</v>
      </c>
      <c r="D127">
        <f>A127*100+33</f>
        <v>733</v>
      </c>
      <c r="F127" s="11" t="s">
        <v>174</v>
      </c>
      <c r="H127" s="11" t="s">
        <v>177</v>
      </c>
    </row>
    <row r="128" spans="1:8" ht="14.25">
      <c r="A128" s="13">
        <f>Constants!$L$9</f>
        <v>7</v>
      </c>
      <c r="B128" s="13" t="str">
        <f>Constants!$M$9</f>
        <v>Tamworth AC</v>
      </c>
      <c r="C128" t="s">
        <v>41</v>
      </c>
      <c r="D128">
        <f>A128*100+34</f>
        <v>734</v>
      </c>
      <c r="F128" s="11" t="s">
        <v>172</v>
      </c>
      <c r="H128" s="11"/>
    </row>
    <row r="129" spans="1:8" ht="14.25">
      <c r="A129" s="13">
        <f>Constants!$L$9</f>
        <v>7</v>
      </c>
      <c r="B129" s="13" t="str">
        <f>Constants!$M$9</f>
        <v>Tamworth AC</v>
      </c>
      <c r="C129" t="s">
        <v>43</v>
      </c>
      <c r="D129">
        <f>A129*100+35</f>
        <v>735</v>
      </c>
      <c r="F129" s="11" t="s">
        <v>175</v>
      </c>
      <c r="H129" s="11" t="s">
        <v>180</v>
      </c>
    </row>
    <row r="130" spans="1:8" ht="14.25">
      <c r="A130" s="13">
        <f>Constants!$L$9</f>
        <v>7</v>
      </c>
      <c r="B130" s="13" t="str">
        <f>Constants!$M$9</f>
        <v>Tamworth AC</v>
      </c>
      <c r="C130" t="s">
        <v>47</v>
      </c>
      <c r="D130">
        <f>A130*100+36</f>
        <v>736</v>
      </c>
      <c r="F130" s="11" t="s">
        <v>175</v>
      </c>
      <c r="H130" s="11" t="s">
        <v>182</v>
      </c>
    </row>
    <row r="131" spans="1:8" ht="14.25">
      <c r="A131" s="13">
        <f>Constants!$L$9</f>
        <v>7</v>
      </c>
      <c r="B131" s="13" t="str">
        <f>Constants!$M$9</f>
        <v>Tamworth AC</v>
      </c>
      <c r="C131" t="s">
        <v>44</v>
      </c>
      <c r="D131">
        <f>A131*100+37</f>
        <v>737</v>
      </c>
      <c r="F131" s="11" t="s">
        <v>175</v>
      </c>
      <c r="H131" s="11" t="s">
        <v>180</v>
      </c>
    </row>
    <row r="132" spans="1:8" ht="14.25">
      <c r="A132" s="13">
        <f>Constants!$L$9</f>
        <v>7</v>
      </c>
      <c r="B132" s="13" t="str">
        <f>Constants!$M$9</f>
        <v>Tamworth AC</v>
      </c>
      <c r="C132" t="s">
        <v>45</v>
      </c>
      <c r="D132">
        <f>A132*100+38</f>
        <v>738</v>
      </c>
      <c r="F132" s="11" t="s">
        <v>176</v>
      </c>
      <c r="H132" s="11" t="s">
        <v>172</v>
      </c>
    </row>
    <row r="133" spans="1:8" s="18" customFormat="1" ht="30.75" customHeight="1">
      <c r="A133" s="19">
        <f>Constants!$L$9</f>
        <v>7</v>
      </c>
      <c r="B133" s="19" t="str">
        <f>Constants!$M$9</f>
        <v>Tamworth AC</v>
      </c>
      <c r="C133" s="18" t="s">
        <v>25</v>
      </c>
      <c r="D133" s="18">
        <f>A133*100+41</f>
        <v>741</v>
      </c>
      <c r="F133" s="11" t="s">
        <v>312</v>
      </c>
      <c r="G133" s="20"/>
      <c r="H133" s="11"/>
    </row>
    <row r="134" spans="1:8" s="18" customFormat="1" ht="30.75" customHeight="1">
      <c r="A134" s="19">
        <f>Constants!$L$9</f>
        <v>7</v>
      </c>
      <c r="B134" s="19" t="str">
        <f>Constants!$M$9</f>
        <v>Tamworth AC</v>
      </c>
      <c r="C134" s="18" t="s">
        <v>26</v>
      </c>
      <c r="D134" s="18">
        <f>A134*100+44</f>
        <v>744</v>
      </c>
      <c r="F134" s="11" t="s">
        <v>183</v>
      </c>
      <c r="G134" s="20"/>
      <c r="H134" s="11"/>
    </row>
    <row r="135" spans="1:8" ht="14.25">
      <c r="A135">
        <f>Constants!$L$10</f>
        <v>8</v>
      </c>
      <c r="B135" t="str">
        <f>Constants!$M$10</f>
        <v>City of Stoke AC</v>
      </c>
      <c r="C135" t="s">
        <v>18</v>
      </c>
      <c r="D135">
        <f>A135*100+1</f>
        <v>801</v>
      </c>
      <c r="F135" s="11" t="s">
        <v>188</v>
      </c>
      <c r="H135" s="11" t="s">
        <v>199</v>
      </c>
    </row>
    <row r="136" spans="1:8" ht="14.25">
      <c r="A136" s="13">
        <f>Constants!$L$10</f>
        <v>8</v>
      </c>
      <c r="B136" s="13" t="str">
        <f>Constants!$M$10</f>
        <v>City of Stoke AC</v>
      </c>
      <c r="C136" t="s">
        <v>19</v>
      </c>
      <c r="D136">
        <f>A136*100+2</f>
        <v>802</v>
      </c>
      <c r="F136" s="11" t="s">
        <v>188</v>
      </c>
      <c r="H136" s="11" t="s">
        <v>199</v>
      </c>
    </row>
    <row r="137" spans="1:8" ht="14.25">
      <c r="A137" s="13">
        <f>Constants!$L$10</f>
        <v>8</v>
      </c>
      <c r="B137" s="13" t="str">
        <f>Constants!$M$10</f>
        <v>City of Stoke AC</v>
      </c>
      <c r="C137" t="s">
        <v>20</v>
      </c>
      <c r="D137">
        <f>A137*100+4</f>
        <v>804</v>
      </c>
      <c r="F137" s="11" t="s">
        <v>189</v>
      </c>
      <c r="H137" s="11" t="s">
        <v>200</v>
      </c>
    </row>
    <row r="138" spans="1:8" ht="14.25">
      <c r="A138" s="13">
        <f>Constants!$L$10</f>
        <v>8</v>
      </c>
      <c r="B138" s="13" t="str">
        <f>Constants!$M$10</f>
        <v>City of Stoke AC</v>
      </c>
      <c r="C138" t="s">
        <v>21</v>
      </c>
      <c r="D138">
        <f>A138*100+8</f>
        <v>808</v>
      </c>
      <c r="F138" s="11" t="s">
        <v>190</v>
      </c>
      <c r="H138" s="11"/>
    </row>
    <row r="139" spans="1:8" ht="14.25">
      <c r="A139" s="13">
        <f>Constants!$L$10</f>
        <v>8</v>
      </c>
      <c r="B139" s="13" t="str">
        <f>Constants!$M$10</f>
        <v>City of Stoke AC</v>
      </c>
      <c r="C139" t="s">
        <v>22</v>
      </c>
      <c r="D139">
        <f>A139*100+15</f>
        <v>815</v>
      </c>
      <c r="F139" s="11" t="s">
        <v>190</v>
      </c>
      <c r="H139" s="11"/>
    </row>
    <row r="140" spans="1:8" ht="14.25">
      <c r="A140" s="13">
        <f>Constants!$L$10</f>
        <v>8</v>
      </c>
      <c r="B140" s="13" t="str">
        <f>Constants!$M$10</f>
        <v>City of Stoke AC</v>
      </c>
      <c r="C140" t="s">
        <v>129</v>
      </c>
      <c r="D140">
        <f>A140*100+16</f>
        <v>816</v>
      </c>
      <c r="F140" s="11" t="s">
        <v>191</v>
      </c>
      <c r="H140" s="11" t="s">
        <v>215</v>
      </c>
    </row>
    <row r="141" spans="1:8" ht="14.25">
      <c r="A141" s="13">
        <f>Constants!$L$10</f>
        <v>8</v>
      </c>
      <c r="B141" s="13" t="str">
        <f>Constants!$M$3</f>
        <v>Cannock &amp; Staffs AC</v>
      </c>
      <c r="C141" t="s">
        <v>130</v>
      </c>
      <c r="D141">
        <f>A141*100+19</f>
        <v>819</v>
      </c>
      <c r="F141" s="11" t="s">
        <v>192</v>
      </c>
      <c r="H141" s="11"/>
    </row>
    <row r="142" spans="1:8" ht="14.25">
      <c r="A142" s="13">
        <f>Constants!$L$10</f>
        <v>8</v>
      </c>
      <c r="B142" s="13" t="str">
        <f>Constants!$M$10</f>
        <v>City of Stoke AC</v>
      </c>
      <c r="C142" t="s">
        <v>87</v>
      </c>
      <c r="D142">
        <f>A142*100+21</f>
        <v>821</v>
      </c>
      <c r="F142" s="11"/>
      <c r="H142" s="11"/>
    </row>
    <row r="143" spans="1:8" ht="14.25">
      <c r="A143" s="13">
        <f>Constants!$L$10</f>
        <v>8</v>
      </c>
      <c r="B143" s="13" t="str">
        <f>Constants!$M$10</f>
        <v>City of Stoke AC</v>
      </c>
      <c r="C143" t="s">
        <v>24</v>
      </c>
      <c r="D143">
        <f>A143*100+24</f>
        <v>824</v>
      </c>
      <c r="F143" s="11"/>
      <c r="H143" s="11"/>
    </row>
    <row r="144" spans="1:8" ht="14.25">
      <c r="A144" s="13">
        <f>Constants!$L$10</f>
        <v>8</v>
      </c>
      <c r="B144" s="13" t="str">
        <f>Constants!$M$10</f>
        <v>City of Stoke AC</v>
      </c>
      <c r="C144" t="s">
        <v>57</v>
      </c>
      <c r="D144">
        <f>A144*100+31</f>
        <v>831</v>
      </c>
      <c r="F144" s="11" t="s">
        <v>193</v>
      </c>
      <c r="H144" s="11" t="s">
        <v>200</v>
      </c>
    </row>
    <row r="145" spans="1:8" ht="14.25">
      <c r="A145" s="13">
        <f>Constants!$L$10</f>
        <v>8</v>
      </c>
      <c r="B145" s="13" t="str">
        <f>Constants!$M$10</f>
        <v>City of Stoke AC</v>
      </c>
      <c r="C145" t="s">
        <v>40</v>
      </c>
      <c r="D145">
        <f>A145*100+32</f>
        <v>832</v>
      </c>
      <c r="F145" s="11" t="s">
        <v>194</v>
      </c>
      <c r="H145" s="11" t="s">
        <v>201</v>
      </c>
    </row>
    <row r="146" spans="1:8" ht="14.25">
      <c r="A146" s="13">
        <f>Constants!$L$10</f>
        <v>8</v>
      </c>
      <c r="B146" s="13" t="str">
        <f>Constants!$M$10</f>
        <v>City of Stoke AC</v>
      </c>
      <c r="C146" t="s">
        <v>42</v>
      </c>
      <c r="D146">
        <f>A146*100+33</f>
        <v>833</v>
      </c>
      <c r="F146" s="11" t="s">
        <v>193</v>
      </c>
      <c r="H146" s="11" t="s">
        <v>194</v>
      </c>
    </row>
    <row r="147" spans="1:8" ht="14.25">
      <c r="A147" s="13">
        <f>Constants!$L$10</f>
        <v>8</v>
      </c>
      <c r="B147" s="13" t="str">
        <f>Constants!$M$10</f>
        <v>City of Stoke AC</v>
      </c>
      <c r="C147" t="s">
        <v>41</v>
      </c>
      <c r="D147">
        <f>A147*100+34</f>
        <v>834</v>
      </c>
      <c r="F147" s="11"/>
      <c r="H147" s="11"/>
    </row>
    <row r="148" spans="1:8" ht="14.25">
      <c r="A148" s="13">
        <f>Constants!$L$10</f>
        <v>8</v>
      </c>
      <c r="B148" s="13" t="str">
        <f>Constants!$M$10</f>
        <v>City of Stoke AC</v>
      </c>
      <c r="C148" t="s">
        <v>43</v>
      </c>
      <c r="D148">
        <f>A148*100+35</f>
        <v>835</v>
      </c>
      <c r="F148" s="11" t="s">
        <v>195</v>
      </c>
      <c r="H148" s="11" t="s">
        <v>197</v>
      </c>
    </row>
    <row r="149" spans="1:8" ht="14.25">
      <c r="A149" s="13">
        <f>Constants!$L$10</f>
        <v>8</v>
      </c>
      <c r="B149" s="13" t="str">
        <f>Constants!$M$10</f>
        <v>City of Stoke AC</v>
      </c>
      <c r="C149" t="s">
        <v>47</v>
      </c>
      <c r="D149">
        <f>A149*100+36</f>
        <v>836</v>
      </c>
      <c r="F149" s="11" t="s">
        <v>196</v>
      </c>
      <c r="H149" s="11" t="s">
        <v>195</v>
      </c>
    </row>
    <row r="150" spans="1:8" ht="14.25">
      <c r="A150" s="13">
        <f>Constants!$L$10</f>
        <v>8</v>
      </c>
      <c r="B150" s="13" t="str">
        <f>Constants!$M$10</f>
        <v>City of Stoke AC</v>
      </c>
      <c r="C150" t="s">
        <v>44</v>
      </c>
      <c r="D150">
        <f>A150*100+37</f>
        <v>837</v>
      </c>
      <c r="F150" s="11" t="s">
        <v>196</v>
      </c>
      <c r="H150" s="11"/>
    </row>
    <row r="151" spans="1:8" ht="14.25">
      <c r="A151" s="13">
        <f>Constants!$L$10</f>
        <v>8</v>
      </c>
      <c r="B151" s="13" t="str">
        <f>Constants!$M$10</f>
        <v>City of Stoke AC</v>
      </c>
      <c r="C151" t="s">
        <v>45</v>
      </c>
      <c r="D151">
        <f>A151*100+38</f>
        <v>838</v>
      </c>
      <c r="F151" s="11" t="s">
        <v>197</v>
      </c>
      <c r="H151" s="11" t="s">
        <v>189</v>
      </c>
    </row>
    <row r="152" spans="1:8" s="18" customFormat="1" ht="30" customHeight="1">
      <c r="A152" s="19">
        <f>Constants!$L$10</f>
        <v>8</v>
      </c>
      <c r="B152" s="19" t="str">
        <f>Constants!$M$10</f>
        <v>City of Stoke AC</v>
      </c>
      <c r="C152" s="18" t="s">
        <v>25</v>
      </c>
      <c r="D152" s="18">
        <f>A152*100+41</f>
        <v>841</v>
      </c>
      <c r="F152" s="11" t="s">
        <v>272</v>
      </c>
      <c r="G152" s="20"/>
      <c r="H152" s="55"/>
    </row>
    <row r="153" spans="1:8" s="18" customFormat="1" ht="30" customHeight="1">
      <c r="A153" s="19">
        <f>Constants!$L$10</f>
        <v>8</v>
      </c>
      <c r="B153" s="19" t="str">
        <f>Constants!$M$10</f>
        <v>City of Stoke AC</v>
      </c>
      <c r="C153" s="18" t="s">
        <v>26</v>
      </c>
      <c r="D153" s="18">
        <f>A153*100+44</f>
        <v>844</v>
      </c>
      <c r="F153" s="11" t="s">
        <v>198</v>
      </c>
      <c r="G153" s="20"/>
      <c r="H153" s="55"/>
    </row>
    <row r="154" spans="1:8" s="18" customFormat="1" ht="30" customHeight="1" hidden="1">
      <c r="A154">
        <f>Constants!$L$3*11</f>
        <v>11</v>
      </c>
      <c r="B154" t="str">
        <f>Constants!$M$3</f>
        <v>Cannock &amp; Staffs AC</v>
      </c>
      <c r="C154" t="s">
        <v>18</v>
      </c>
      <c r="D154">
        <f>A154*100+1</f>
        <v>1101</v>
      </c>
      <c r="F154" s="11">
        <f aca="true" t="shared" si="0" ref="F154:F160">H2</f>
        <v>0</v>
      </c>
      <c r="G154" s="20"/>
      <c r="H154" s="11"/>
    </row>
    <row r="155" spans="1:8" s="18" customFormat="1" ht="30" customHeight="1" hidden="1">
      <c r="A155">
        <f>Constants!$L$3*11</f>
        <v>11</v>
      </c>
      <c r="B155" t="str">
        <f>Constants!$M$3</f>
        <v>Cannock &amp; Staffs AC</v>
      </c>
      <c r="C155" t="s">
        <v>19</v>
      </c>
      <c r="D155">
        <f>A155*100+2</f>
        <v>1102</v>
      </c>
      <c r="F155" s="11">
        <f t="shared" si="0"/>
        <v>0</v>
      </c>
      <c r="G155" s="20"/>
      <c r="H155" s="11"/>
    </row>
    <row r="156" spans="1:8" s="18" customFormat="1" ht="30" customHeight="1" hidden="1">
      <c r="A156">
        <f>Constants!$L$3*11</f>
        <v>11</v>
      </c>
      <c r="B156" t="str">
        <f>Constants!$M$3</f>
        <v>Cannock &amp; Staffs AC</v>
      </c>
      <c r="C156" t="s">
        <v>20</v>
      </c>
      <c r="D156">
        <f>A156*100+4</f>
        <v>1104</v>
      </c>
      <c r="F156" s="11">
        <f t="shared" si="0"/>
        <v>0</v>
      </c>
      <c r="G156" s="20"/>
      <c r="H156" s="11"/>
    </row>
    <row r="157" spans="1:8" s="18" customFormat="1" ht="30" customHeight="1" hidden="1">
      <c r="A157">
        <f>Constants!$L$3*11</f>
        <v>11</v>
      </c>
      <c r="B157" t="str">
        <f>Constants!$M$3</f>
        <v>Cannock &amp; Staffs AC</v>
      </c>
      <c r="C157" t="s">
        <v>21</v>
      </c>
      <c r="D157">
        <f>A157*100+8</f>
        <v>1108</v>
      </c>
      <c r="F157" s="11" t="str">
        <f t="shared" si="0"/>
        <v>Chris Harvey</v>
      </c>
      <c r="G157" s="20"/>
      <c r="H157" s="11"/>
    </row>
    <row r="158" spans="1:8" s="18" customFormat="1" ht="30" customHeight="1" hidden="1">
      <c r="A158">
        <f>Constants!$L$3*11</f>
        <v>11</v>
      </c>
      <c r="B158" t="str">
        <f>Constants!$M$3</f>
        <v>Cannock &amp; Staffs AC</v>
      </c>
      <c r="C158" t="s">
        <v>22</v>
      </c>
      <c r="D158">
        <f>A158*100+15</f>
        <v>1115</v>
      </c>
      <c r="F158" s="11" t="str">
        <f t="shared" si="0"/>
        <v>James Houghton</v>
      </c>
      <c r="G158" s="20"/>
      <c r="H158" s="11"/>
    </row>
    <row r="159" spans="1:8" s="18" customFormat="1" ht="30" customHeight="1" hidden="1">
      <c r="A159">
        <f>Constants!$L$3*11</f>
        <v>11</v>
      </c>
      <c r="B159" t="str">
        <f>Constants!$M$3</f>
        <v>Cannock &amp; Staffs AC</v>
      </c>
      <c r="C159" t="s">
        <v>86</v>
      </c>
      <c r="D159">
        <f>A159*100+16</f>
        <v>1116</v>
      </c>
      <c r="F159" s="11">
        <f t="shared" si="0"/>
        <v>0</v>
      </c>
      <c r="G159" s="20"/>
      <c r="H159" s="11"/>
    </row>
    <row r="160" spans="1:8" s="18" customFormat="1" ht="30" customHeight="1" hidden="1">
      <c r="A160">
        <f>Constants!$L$3*11</f>
        <v>11</v>
      </c>
      <c r="B160" t="str">
        <f>Constants!$M$3</f>
        <v>Cannock &amp; Staffs AC</v>
      </c>
      <c r="C160" t="s">
        <v>88</v>
      </c>
      <c r="D160">
        <f>A160*100+19</f>
        <v>1119</v>
      </c>
      <c r="F160" s="11">
        <f t="shared" si="0"/>
        <v>0</v>
      </c>
      <c r="G160" s="20"/>
      <c r="H160" s="11"/>
    </row>
    <row r="161" spans="1:8" s="18" customFormat="1" ht="30" customHeight="1" hidden="1">
      <c r="A161">
        <f>Constants!$L$3*11</f>
        <v>11</v>
      </c>
      <c r="B161" t="str">
        <f>Constants!$M$3</f>
        <v>Cannock &amp; Staffs AC</v>
      </c>
      <c r="C161" t="s">
        <v>87</v>
      </c>
      <c r="D161">
        <f>A161*100+21</f>
        <v>1121</v>
      </c>
      <c r="F161" s="11">
        <f aca="true" t="shared" si="1" ref="F161:F170">H9</f>
        <v>0</v>
      </c>
      <c r="G161" s="20"/>
      <c r="H161" s="11"/>
    </row>
    <row r="162" spans="1:8" s="18" customFormat="1" ht="30" customHeight="1" hidden="1">
      <c r="A162">
        <f>Constants!$L$3*11</f>
        <v>11</v>
      </c>
      <c r="B162" t="str">
        <f>Constants!$M$3</f>
        <v>Cannock &amp; Staffs AC</v>
      </c>
      <c r="C162" t="s">
        <v>24</v>
      </c>
      <c r="D162">
        <f>A162*100+24</f>
        <v>1124</v>
      </c>
      <c r="F162" s="11">
        <f t="shared" si="1"/>
        <v>0</v>
      </c>
      <c r="G162" s="20"/>
      <c r="H162" s="11"/>
    </row>
    <row r="163" spans="1:8" s="18" customFormat="1" ht="30" customHeight="1" hidden="1">
      <c r="A163">
        <f>Constants!$L$3*11</f>
        <v>11</v>
      </c>
      <c r="B163" t="str">
        <f>Constants!$M$3</f>
        <v>Cannock &amp; Staffs AC</v>
      </c>
      <c r="C163" t="s">
        <v>57</v>
      </c>
      <c r="D163">
        <f>A163*100+31</f>
        <v>1131</v>
      </c>
      <c r="F163" s="11" t="str">
        <f t="shared" si="1"/>
        <v>Ryan Deeley</v>
      </c>
      <c r="G163" s="20"/>
      <c r="H163" s="11"/>
    </row>
    <row r="164" spans="1:8" s="18" customFormat="1" ht="30" customHeight="1" hidden="1">
      <c r="A164">
        <f>Constants!$L$3*11</f>
        <v>11</v>
      </c>
      <c r="B164" t="str">
        <f>Constants!$M$3</f>
        <v>Cannock &amp; Staffs AC</v>
      </c>
      <c r="C164" t="s">
        <v>40</v>
      </c>
      <c r="D164">
        <f>A164*100+32</f>
        <v>1132</v>
      </c>
      <c r="F164" s="11" t="str">
        <f t="shared" si="1"/>
        <v>Alex Widgery</v>
      </c>
      <c r="G164" s="20"/>
      <c r="H164" s="11"/>
    </row>
    <row r="165" spans="1:8" s="18" customFormat="1" ht="30" customHeight="1" hidden="1">
      <c r="A165">
        <f>Constants!$L$3*11</f>
        <v>11</v>
      </c>
      <c r="B165" t="str">
        <f>Constants!$M$3</f>
        <v>Cannock &amp; Staffs AC</v>
      </c>
      <c r="C165" t="s">
        <v>42</v>
      </c>
      <c r="D165">
        <f>A165*100+33</f>
        <v>1133</v>
      </c>
      <c r="F165" s="11">
        <f t="shared" si="1"/>
        <v>0</v>
      </c>
      <c r="G165" s="20"/>
      <c r="H165" s="11"/>
    </row>
    <row r="166" spans="1:8" s="18" customFormat="1" ht="30" customHeight="1" hidden="1">
      <c r="A166">
        <f>Constants!$L$3*11</f>
        <v>11</v>
      </c>
      <c r="B166" t="str">
        <f>Constants!$M$3</f>
        <v>Cannock &amp; Staffs AC</v>
      </c>
      <c r="C166" t="s">
        <v>41</v>
      </c>
      <c r="D166">
        <f>A166*100+34</f>
        <v>1134</v>
      </c>
      <c r="F166" s="11">
        <f t="shared" si="1"/>
        <v>0</v>
      </c>
      <c r="G166" s="20"/>
      <c r="H166" s="11"/>
    </row>
    <row r="167" spans="1:8" s="18" customFormat="1" ht="30" customHeight="1" hidden="1">
      <c r="A167">
        <f>Constants!$L$3*11</f>
        <v>11</v>
      </c>
      <c r="B167" t="str">
        <f>Constants!$M$3</f>
        <v>Cannock &amp; Staffs AC</v>
      </c>
      <c r="C167" t="s">
        <v>43</v>
      </c>
      <c r="D167">
        <f>A167*100+35</f>
        <v>1135</v>
      </c>
      <c r="F167" s="11">
        <f t="shared" si="1"/>
        <v>0</v>
      </c>
      <c r="G167" s="20"/>
      <c r="H167" s="11"/>
    </row>
    <row r="168" spans="1:8" s="18" customFormat="1" ht="30" customHeight="1" hidden="1">
      <c r="A168">
        <f>Constants!$L$3*11</f>
        <v>11</v>
      </c>
      <c r="B168" t="str">
        <f>Constants!$M$3</f>
        <v>Cannock &amp; Staffs AC</v>
      </c>
      <c r="C168" t="s">
        <v>47</v>
      </c>
      <c r="D168">
        <f>A168*100+36</f>
        <v>1136</v>
      </c>
      <c r="F168" s="11" t="str">
        <f t="shared" si="1"/>
        <v>Ryan Deeley</v>
      </c>
      <c r="G168" s="20"/>
      <c r="H168" s="11"/>
    </row>
    <row r="169" spans="1:8" s="18" customFormat="1" ht="30" customHeight="1" hidden="1">
      <c r="A169">
        <f>Constants!$L$3*11</f>
        <v>11</v>
      </c>
      <c r="B169" t="str">
        <f>Constants!$M$3</f>
        <v>Cannock &amp; Staffs AC</v>
      </c>
      <c r="C169" t="s">
        <v>44</v>
      </c>
      <c r="D169">
        <f>A169*100+37</f>
        <v>1137</v>
      </c>
      <c r="F169" s="11" t="str">
        <f t="shared" si="1"/>
        <v>Alex Widgery</v>
      </c>
      <c r="G169" s="20"/>
      <c r="H169" s="11"/>
    </row>
    <row r="170" spans="1:8" s="18" customFormat="1" ht="30" customHeight="1" hidden="1">
      <c r="A170">
        <f>Constants!$L$3*11</f>
        <v>11</v>
      </c>
      <c r="B170" t="str">
        <f>Constants!$M$3</f>
        <v>Cannock &amp; Staffs AC</v>
      </c>
      <c r="C170" t="s">
        <v>45</v>
      </c>
      <c r="D170">
        <f>A170*100+38</f>
        <v>1138</v>
      </c>
      <c r="F170" s="11" t="str">
        <f t="shared" si="1"/>
        <v>Ryan Deeley</v>
      </c>
      <c r="G170" s="20"/>
      <c r="H170" s="11"/>
    </row>
    <row r="171" spans="1:8" s="18" customFormat="1" ht="30" customHeight="1" hidden="1">
      <c r="A171">
        <f>Constants!$L$4*11</f>
        <v>22</v>
      </c>
      <c r="B171" s="38" t="str">
        <f>Constants!$M$4</f>
        <v>Coventry Godiva Harriers &amp; Sphinx AC</v>
      </c>
      <c r="C171" t="s">
        <v>18</v>
      </c>
      <c r="D171">
        <f>A171*100+1</f>
        <v>2201</v>
      </c>
      <c r="F171" s="11" t="str">
        <f aca="true" t="shared" si="2" ref="F171:F177">H21</f>
        <v>Jamie Blundell</v>
      </c>
      <c r="G171" s="20"/>
      <c r="H171" s="11"/>
    </row>
    <row r="172" spans="1:8" s="18" customFormat="1" ht="30" customHeight="1" hidden="1">
      <c r="A172">
        <f>Constants!$L$4*11</f>
        <v>22</v>
      </c>
      <c r="B172" s="38" t="str">
        <f>Constants!$M$4</f>
        <v>Coventry Godiva Harriers &amp; Sphinx AC</v>
      </c>
      <c r="C172" t="s">
        <v>19</v>
      </c>
      <c r="D172">
        <f>A172*100+2</f>
        <v>2202</v>
      </c>
      <c r="F172" s="11" t="str">
        <f t="shared" si="2"/>
        <v>Paul McGranchan</v>
      </c>
      <c r="G172" s="20"/>
      <c r="H172" s="11"/>
    </row>
    <row r="173" spans="1:8" s="18" customFormat="1" ht="30" customHeight="1" hidden="1">
      <c r="A173">
        <f>Constants!$L$4*11</f>
        <v>22</v>
      </c>
      <c r="B173" s="38" t="str">
        <f>Constants!$M$4</f>
        <v>Coventry Godiva Harriers &amp; Sphinx AC</v>
      </c>
      <c r="C173" t="s">
        <v>20</v>
      </c>
      <c r="D173">
        <f>A173*100+4</f>
        <v>2204</v>
      </c>
      <c r="F173" s="11" t="str">
        <f t="shared" si="2"/>
        <v>Rob Bates</v>
      </c>
      <c r="G173" s="20"/>
      <c r="H173" s="11"/>
    </row>
    <row r="174" spans="1:8" s="18" customFormat="1" ht="30" customHeight="1" hidden="1">
      <c r="A174">
        <f>Constants!$L$4*11</f>
        <v>22</v>
      </c>
      <c r="B174" s="38" t="str">
        <f>Constants!$M$4</f>
        <v>Coventry Godiva Harriers &amp; Sphinx AC</v>
      </c>
      <c r="C174" t="s">
        <v>21</v>
      </c>
      <c r="D174">
        <f>A174*100+8</f>
        <v>2208</v>
      </c>
      <c r="F174" s="11" t="str">
        <f t="shared" si="2"/>
        <v>Ben Jones</v>
      </c>
      <c r="G174" s="20"/>
      <c r="H174" s="11"/>
    </row>
    <row r="175" spans="1:8" s="18" customFormat="1" ht="30" customHeight="1" hidden="1">
      <c r="A175">
        <f>Constants!$L$4*11</f>
        <v>22</v>
      </c>
      <c r="B175" s="38" t="str">
        <f>Constants!$M$4</f>
        <v>Coventry Godiva Harriers &amp; Sphinx AC</v>
      </c>
      <c r="C175" t="s">
        <v>22</v>
      </c>
      <c r="D175">
        <f>A175*100+15</f>
        <v>2215</v>
      </c>
      <c r="F175" s="11" t="str">
        <f t="shared" si="2"/>
        <v>Ben Jones</v>
      </c>
      <c r="G175" s="20"/>
      <c r="H175" s="11"/>
    </row>
    <row r="176" spans="1:8" s="18" customFormat="1" ht="30" customHeight="1" hidden="1">
      <c r="A176">
        <f>Constants!$L$4*11</f>
        <v>22</v>
      </c>
      <c r="B176" s="38" t="str">
        <f>Constants!$M$4</f>
        <v>Coventry Godiva Harriers &amp; Sphinx AC</v>
      </c>
      <c r="C176" t="s">
        <v>86</v>
      </c>
      <c r="D176">
        <f>A176*100+16</f>
        <v>2216</v>
      </c>
      <c r="F176" s="11" t="str">
        <f t="shared" si="2"/>
        <v>George Hill</v>
      </c>
      <c r="G176" s="20"/>
      <c r="H176" s="11"/>
    </row>
    <row r="177" spans="1:8" s="18" customFormat="1" ht="30" customHeight="1" hidden="1">
      <c r="A177">
        <f>Constants!$L$4*11</f>
        <v>22</v>
      </c>
      <c r="B177" t="str">
        <f>Constants!$M$3</f>
        <v>Cannock &amp; Staffs AC</v>
      </c>
      <c r="C177" t="s">
        <v>88</v>
      </c>
      <c r="D177">
        <f>A177*100+19</f>
        <v>2219</v>
      </c>
      <c r="F177" s="11" t="str">
        <f t="shared" si="2"/>
        <v>Luke Tolly</v>
      </c>
      <c r="G177" s="20"/>
      <c r="H177" s="11"/>
    </row>
    <row r="178" spans="1:8" s="18" customFormat="1" ht="30" customHeight="1" hidden="1">
      <c r="A178">
        <f>Constants!$L$4*11</f>
        <v>22</v>
      </c>
      <c r="B178" s="38" t="str">
        <f>Constants!$M$4</f>
        <v>Coventry Godiva Harriers &amp; Sphinx AC</v>
      </c>
      <c r="C178" t="s">
        <v>87</v>
      </c>
      <c r="D178">
        <f>A178*100+21</f>
        <v>2221</v>
      </c>
      <c r="F178" s="11">
        <f aca="true" t="shared" si="3" ref="F178:F187">H28</f>
        <v>0</v>
      </c>
      <c r="G178" s="20"/>
      <c r="H178" s="11"/>
    </row>
    <row r="179" spans="1:8" s="18" customFormat="1" ht="30" customHeight="1" hidden="1">
      <c r="A179">
        <f>Constants!$L$4*11</f>
        <v>22</v>
      </c>
      <c r="B179" s="38" t="str">
        <f>Constants!$M$4</f>
        <v>Coventry Godiva Harriers &amp; Sphinx AC</v>
      </c>
      <c r="C179" t="s">
        <v>24</v>
      </c>
      <c r="D179">
        <f>A179*100+24</f>
        <v>2224</v>
      </c>
      <c r="F179" s="11">
        <f t="shared" si="3"/>
        <v>0</v>
      </c>
      <c r="G179" s="20"/>
      <c r="H179" s="11"/>
    </row>
    <row r="180" spans="1:8" s="18" customFormat="1" ht="30" customHeight="1" hidden="1">
      <c r="A180">
        <f>Constants!$L$4*11</f>
        <v>22</v>
      </c>
      <c r="B180" s="38" t="str">
        <f>Constants!$M$4</f>
        <v>Coventry Godiva Harriers &amp; Sphinx AC</v>
      </c>
      <c r="C180" t="s">
        <v>57</v>
      </c>
      <c r="D180">
        <f>A180*100+31</f>
        <v>2231</v>
      </c>
      <c r="F180" s="11">
        <f t="shared" si="3"/>
        <v>0</v>
      </c>
      <c r="G180" s="20"/>
      <c r="H180" s="11"/>
    </row>
    <row r="181" spans="1:8" s="18" customFormat="1" ht="30" customHeight="1" hidden="1">
      <c r="A181">
        <f>Constants!$L$4*11</f>
        <v>22</v>
      </c>
      <c r="B181" s="38" t="str">
        <f>Constants!$M$4</f>
        <v>Coventry Godiva Harriers &amp; Sphinx AC</v>
      </c>
      <c r="C181" t="s">
        <v>40</v>
      </c>
      <c r="D181">
        <f>A181*100+32</f>
        <v>2232</v>
      </c>
      <c r="F181" s="11">
        <f t="shared" si="3"/>
        <v>0</v>
      </c>
      <c r="G181" s="20"/>
      <c r="H181" s="11"/>
    </row>
    <row r="182" spans="1:8" s="18" customFormat="1" ht="30" customHeight="1" hidden="1">
      <c r="A182">
        <f>Constants!$L$4*11</f>
        <v>22</v>
      </c>
      <c r="B182" s="38" t="str">
        <f>Constants!$M$4</f>
        <v>Coventry Godiva Harriers &amp; Sphinx AC</v>
      </c>
      <c r="C182" t="s">
        <v>42</v>
      </c>
      <c r="D182">
        <f>A182*100+33</f>
        <v>2233</v>
      </c>
      <c r="F182" s="11" t="str">
        <f t="shared" si="3"/>
        <v>Nathan Blundell</v>
      </c>
      <c r="G182" s="20"/>
      <c r="H182" s="11"/>
    </row>
    <row r="183" spans="1:8" s="18" customFormat="1" ht="30" customHeight="1" hidden="1">
      <c r="A183">
        <f>Constants!$L$4*11</f>
        <v>22</v>
      </c>
      <c r="B183" s="38" t="str">
        <f>Constants!$M$4</f>
        <v>Coventry Godiva Harriers &amp; Sphinx AC</v>
      </c>
      <c r="C183" t="s">
        <v>41</v>
      </c>
      <c r="D183">
        <f>A183*100+34</f>
        <v>2234</v>
      </c>
      <c r="F183" s="11">
        <f t="shared" si="3"/>
        <v>0</v>
      </c>
      <c r="G183" s="20"/>
      <c r="H183" s="11"/>
    </row>
    <row r="184" spans="1:8" s="18" customFormat="1" ht="30" customHeight="1" hidden="1">
      <c r="A184">
        <f>Constants!$L$4*11</f>
        <v>22</v>
      </c>
      <c r="B184" s="38" t="str">
        <f>Constants!$M$4</f>
        <v>Coventry Godiva Harriers &amp; Sphinx AC</v>
      </c>
      <c r="C184" t="s">
        <v>43</v>
      </c>
      <c r="D184">
        <f>A184*100+35</f>
        <v>2235</v>
      </c>
      <c r="F184" s="11">
        <f t="shared" si="3"/>
        <v>0</v>
      </c>
      <c r="G184" s="20"/>
      <c r="H184" s="11"/>
    </row>
    <row r="185" spans="1:8" s="18" customFormat="1" ht="30" customHeight="1" hidden="1">
      <c r="A185">
        <f>Constants!$L$4*11</f>
        <v>22</v>
      </c>
      <c r="B185" s="38" t="str">
        <f>Constants!$M$4</f>
        <v>Coventry Godiva Harriers &amp; Sphinx AC</v>
      </c>
      <c r="C185" t="s">
        <v>47</v>
      </c>
      <c r="D185">
        <f>A185*100+36</f>
        <v>2236</v>
      </c>
      <c r="F185" s="11">
        <f t="shared" si="3"/>
        <v>0</v>
      </c>
      <c r="G185" s="20"/>
      <c r="H185" s="11"/>
    </row>
    <row r="186" spans="1:8" s="18" customFormat="1" ht="30" customHeight="1" hidden="1">
      <c r="A186">
        <f>Constants!$L$4*11</f>
        <v>22</v>
      </c>
      <c r="B186" s="38" t="str">
        <f>Constants!$M$4</f>
        <v>Coventry Godiva Harriers &amp; Sphinx AC</v>
      </c>
      <c r="C186" t="s">
        <v>44</v>
      </c>
      <c r="D186">
        <f>A186*100+37</f>
        <v>2237</v>
      </c>
      <c r="F186" s="11">
        <f t="shared" si="3"/>
        <v>0</v>
      </c>
      <c r="G186" s="20"/>
      <c r="H186" s="11"/>
    </row>
    <row r="187" spans="1:8" s="18" customFormat="1" ht="30" customHeight="1" hidden="1">
      <c r="A187">
        <f>Constants!$L$4*11</f>
        <v>22</v>
      </c>
      <c r="B187" s="38" t="str">
        <f>Constants!$M$4</f>
        <v>Coventry Godiva Harriers &amp; Sphinx AC</v>
      </c>
      <c r="C187" t="s">
        <v>45</v>
      </c>
      <c r="D187">
        <f>A187*100+38</f>
        <v>2238</v>
      </c>
      <c r="F187" s="11" t="str">
        <f t="shared" si="3"/>
        <v>Nathan Blundell</v>
      </c>
      <c r="G187" s="20"/>
      <c r="H187" s="11"/>
    </row>
    <row r="188" spans="1:8" s="18" customFormat="1" ht="30" customHeight="1" hidden="1">
      <c r="A188">
        <f>Constants!$L$5*11</f>
        <v>33</v>
      </c>
      <c r="B188" s="38"/>
      <c r="C188" t="s">
        <v>18</v>
      </c>
      <c r="D188">
        <f>A188*100+1</f>
        <v>3301</v>
      </c>
      <c r="F188" s="11" t="str">
        <f aca="true" t="shared" si="4" ref="F188:F194">H40</f>
        <v>Sam Worrall</v>
      </c>
      <c r="G188" s="20"/>
      <c r="H188" s="11"/>
    </row>
    <row r="189" spans="1:8" s="18" customFormat="1" ht="30" customHeight="1" hidden="1">
      <c r="A189">
        <f>Constants!$L$5*11</f>
        <v>33</v>
      </c>
      <c r="B189"/>
      <c r="C189" t="s">
        <v>19</v>
      </c>
      <c r="D189">
        <f>A189*100+2</f>
        <v>3302</v>
      </c>
      <c r="F189" s="11" t="str">
        <f t="shared" si="4"/>
        <v>Tom Aldred</v>
      </c>
      <c r="G189" s="20"/>
      <c r="H189" s="11"/>
    </row>
    <row r="190" spans="1:8" s="18" customFormat="1" ht="30" customHeight="1" hidden="1">
      <c r="A190">
        <f>Constants!$L$5*11</f>
        <v>33</v>
      </c>
      <c r="B190"/>
      <c r="C190" t="s">
        <v>20</v>
      </c>
      <c r="D190">
        <f>A190*100+4</f>
        <v>3304</v>
      </c>
      <c r="F190" s="11" t="str">
        <f t="shared" si="4"/>
        <v>Matt Chetwyn</v>
      </c>
      <c r="G190" s="20"/>
      <c r="H190" s="11"/>
    </row>
    <row r="191" spans="1:8" s="18" customFormat="1" ht="30" customHeight="1" hidden="1">
      <c r="A191">
        <f>Constants!$L$5*11</f>
        <v>33</v>
      </c>
      <c r="B191"/>
      <c r="C191" t="s">
        <v>21</v>
      </c>
      <c r="D191">
        <f>A191*100+8</f>
        <v>3308</v>
      </c>
      <c r="F191" s="11" t="str">
        <f t="shared" si="4"/>
        <v>Frankie Insley</v>
      </c>
      <c r="G191" s="20"/>
      <c r="H191" s="11"/>
    </row>
    <row r="192" spans="1:8" s="18" customFormat="1" ht="30" customHeight="1" hidden="1">
      <c r="A192">
        <f>Constants!$L$5*11</f>
        <v>33</v>
      </c>
      <c r="B192"/>
      <c r="C192" t="s">
        <v>22</v>
      </c>
      <c r="D192">
        <f>A192*100+15</f>
        <v>3315</v>
      </c>
      <c r="F192" s="11" t="str">
        <f t="shared" si="4"/>
        <v>Matt Payne</v>
      </c>
      <c r="G192" s="20"/>
      <c r="H192" s="11"/>
    </row>
    <row r="193" spans="1:8" s="18" customFormat="1" ht="30" customHeight="1" hidden="1">
      <c r="A193">
        <f>Constants!$L$5*11</f>
        <v>33</v>
      </c>
      <c r="B193"/>
      <c r="C193" t="s">
        <v>86</v>
      </c>
      <c r="D193">
        <f>A193*100+16</f>
        <v>3316</v>
      </c>
      <c r="F193" s="11" t="str">
        <f t="shared" si="4"/>
        <v>Chris Davison</v>
      </c>
      <c r="G193" s="20"/>
      <c r="H193" s="11"/>
    </row>
    <row r="194" spans="1:8" s="18" customFormat="1" ht="30" customHeight="1" hidden="1">
      <c r="A194">
        <f>Constants!$L$5*11</f>
        <v>33</v>
      </c>
      <c r="B194"/>
      <c r="C194" t="s">
        <v>88</v>
      </c>
      <c r="D194">
        <f>A194*100+19</f>
        <v>3319</v>
      </c>
      <c r="F194" s="11">
        <f t="shared" si="4"/>
        <v>0</v>
      </c>
      <c r="G194" s="20"/>
      <c r="H194" s="11"/>
    </row>
    <row r="195" spans="1:8" s="18" customFormat="1" ht="30" customHeight="1" hidden="1">
      <c r="A195">
        <f>Constants!$L$5*11</f>
        <v>33</v>
      </c>
      <c r="B195"/>
      <c r="C195" t="s">
        <v>87</v>
      </c>
      <c r="D195">
        <f>A195*100+21</f>
        <v>3321</v>
      </c>
      <c r="F195" s="11">
        <f aca="true" t="shared" si="5" ref="F195:F204">H47</f>
        <v>0</v>
      </c>
      <c r="G195" s="20"/>
      <c r="H195" s="11"/>
    </row>
    <row r="196" spans="1:8" s="18" customFormat="1" ht="30" customHeight="1" hidden="1">
      <c r="A196">
        <f>Constants!$L$5*11</f>
        <v>33</v>
      </c>
      <c r="B196"/>
      <c r="C196" t="s">
        <v>24</v>
      </c>
      <c r="D196">
        <f>A196*100+24</f>
        <v>3324</v>
      </c>
      <c r="F196" s="11">
        <f t="shared" si="5"/>
        <v>0</v>
      </c>
      <c r="G196" s="20"/>
      <c r="H196" s="11"/>
    </row>
    <row r="197" spans="1:8" s="18" customFormat="1" ht="30" customHeight="1" hidden="1">
      <c r="A197">
        <f>Constants!$L$5*11</f>
        <v>33</v>
      </c>
      <c r="B197"/>
      <c r="C197" t="s">
        <v>57</v>
      </c>
      <c r="D197">
        <f>A197*100+31</f>
        <v>3331</v>
      </c>
      <c r="F197" s="11" t="str">
        <f t="shared" si="5"/>
        <v>Nathan Roulstone</v>
      </c>
      <c r="G197" s="20"/>
      <c r="H197" s="11"/>
    </row>
    <row r="198" spans="1:8" s="18" customFormat="1" ht="30" customHeight="1" hidden="1">
      <c r="A198">
        <f>Constants!$L$5*11</f>
        <v>33</v>
      </c>
      <c r="B198"/>
      <c r="C198" t="s">
        <v>40</v>
      </c>
      <c r="D198">
        <f>A198*100+32</f>
        <v>3332</v>
      </c>
      <c r="F198" s="11" t="str">
        <f t="shared" si="5"/>
        <v>Jason Roulstone</v>
      </c>
      <c r="G198" s="20"/>
      <c r="H198" s="11"/>
    </row>
    <row r="199" spans="1:8" s="18" customFormat="1" ht="30" customHeight="1" hidden="1">
      <c r="A199">
        <f>Constants!$L$5*11</f>
        <v>33</v>
      </c>
      <c r="B199"/>
      <c r="C199" t="s">
        <v>42</v>
      </c>
      <c r="D199">
        <f>A199*100+33</f>
        <v>3333</v>
      </c>
      <c r="F199" s="11">
        <f t="shared" si="5"/>
        <v>0</v>
      </c>
      <c r="G199" s="20"/>
      <c r="H199" s="11"/>
    </row>
    <row r="200" spans="1:8" s="18" customFormat="1" ht="30" customHeight="1" hidden="1">
      <c r="A200">
        <f>Constants!$L$5*11</f>
        <v>33</v>
      </c>
      <c r="B200"/>
      <c r="C200" t="s">
        <v>41</v>
      </c>
      <c r="D200">
        <f>A200*100+34</f>
        <v>3334</v>
      </c>
      <c r="F200" s="11" t="str">
        <f t="shared" si="5"/>
        <v>Tom Lawrence</v>
      </c>
      <c r="G200" s="20"/>
      <c r="H200" s="11"/>
    </row>
    <row r="201" spans="1:8" s="18" customFormat="1" ht="30" customHeight="1" hidden="1">
      <c r="A201">
        <f>Constants!$L$5*11</f>
        <v>33</v>
      </c>
      <c r="B201"/>
      <c r="C201" t="s">
        <v>43</v>
      </c>
      <c r="D201">
        <f>A201*100+35</f>
        <v>3335</v>
      </c>
      <c r="F201" s="11">
        <f t="shared" si="5"/>
        <v>0</v>
      </c>
      <c r="G201" s="20"/>
      <c r="H201" s="11"/>
    </row>
    <row r="202" spans="1:8" s="18" customFormat="1" ht="30" customHeight="1" hidden="1">
      <c r="A202">
        <f>Constants!$L$5*11</f>
        <v>33</v>
      </c>
      <c r="B202"/>
      <c r="C202" t="s">
        <v>47</v>
      </c>
      <c r="D202">
        <f>A202*100+36</f>
        <v>3336</v>
      </c>
      <c r="F202" s="11">
        <f t="shared" si="5"/>
        <v>0</v>
      </c>
      <c r="G202" s="20"/>
      <c r="H202" s="11"/>
    </row>
    <row r="203" spans="1:8" s="18" customFormat="1" ht="30" customHeight="1" hidden="1">
      <c r="A203">
        <f>Constants!$L$5*11</f>
        <v>33</v>
      </c>
      <c r="B203"/>
      <c r="C203" t="s">
        <v>44</v>
      </c>
      <c r="D203">
        <f>A203*100+37</f>
        <v>3337</v>
      </c>
      <c r="F203" s="11">
        <f t="shared" si="5"/>
        <v>0</v>
      </c>
      <c r="G203" s="20"/>
      <c r="H203" s="11"/>
    </row>
    <row r="204" spans="1:8" s="18" customFormat="1" ht="30" customHeight="1" hidden="1">
      <c r="A204">
        <f>Constants!$L$5*11</f>
        <v>33</v>
      </c>
      <c r="B204"/>
      <c r="C204" t="s">
        <v>45</v>
      </c>
      <c r="D204">
        <f>A204*100+38</f>
        <v>3338</v>
      </c>
      <c r="F204" s="11">
        <f t="shared" si="5"/>
        <v>0</v>
      </c>
      <c r="G204" s="20"/>
      <c r="H204" s="11"/>
    </row>
    <row r="205" spans="1:8" s="18" customFormat="1" ht="30" customHeight="1" hidden="1">
      <c r="A205">
        <f>Constants!$L$6*11</f>
        <v>44</v>
      </c>
      <c r="B205" s="38" t="str">
        <f>Constants!$M$6</f>
        <v>Leicester Coritanian AC</v>
      </c>
      <c r="C205" t="s">
        <v>18</v>
      </c>
      <c r="D205">
        <f>A205*100+1</f>
        <v>4401</v>
      </c>
      <c r="F205" s="11">
        <f aca="true" t="shared" si="6" ref="F205:F211">H59</f>
        <v>0</v>
      </c>
      <c r="G205" s="20"/>
      <c r="H205" s="11"/>
    </row>
    <row r="206" spans="1:8" s="18" customFormat="1" ht="30" customHeight="1" hidden="1">
      <c r="A206">
        <f>Constants!$L$6*11</f>
        <v>44</v>
      </c>
      <c r="B206" s="38" t="str">
        <f>Constants!$M$6</f>
        <v>Leicester Coritanian AC</v>
      </c>
      <c r="C206" t="s">
        <v>19</v>
      </c>
      <c r="D206">
        <f>A206*100+2</f>
        <v>4402</v>
      </c>
      <c r="F206" s="11">
        <f t="shared" si="6"/>
        <v>0</v>
      </c>
      <c r="G206" s="20"/>
      <c r="H206" s="11"/>
    </row>
    <row r="207" spans="1:8" s="18" customFormat="1" ht="30" customHeight="1" hidden="1">
      <c r="A207">
        <f>Constants!$L$6*11</f>
        <v>44</v>
      </c>
      <c r="B207" s="38" t="str">
        <f>Constants!$M$6</f>
        <v>Leicester Coritanian AC</v>
      </c>
      <c r="C207" t="s">
        <v>20</v>
      </c>
      <c r="D207">
        <f>A207*100+4</f>
        <v>4404</v>
      </c>
      <c r="F207" s="11">
        <f t="shared" si="6"/>
        <v>0</v>
      </c>
      <c r="G207" s="20"/>
      <c r="H207" s="11"/>
    </row>
    <row r="208" spans="1:8" s="18" customFormat="1" ht="30" customHeight="1" hidden="1">
      <c r="A208">
        <f>Constants!$L$6*11</f>
        <v>44</v>
      </c>
      <c r="B208" s="38" t="str">
        <f>Constants!$M$6</f>
        <v>Leicester Coritanian AC</v>
      </c>
      <c r="C208" t="s">
        <v>21</v>
      </c>
      <c r="D208">
        <f>A208*100+8</f>
        <v>4408</v>
      </c>
      <c r="F208" s="11">
        <f t="shared" si="6"/>
        <v>0</v>
      </c>
      <c r="G208" s="20"/>
      <c r="H208" s="11"/>
    </row>
    <row r="209" spans="1:8" s="18" customFormat="1" ht="30" customHeight="1" hidden="1">
      <c r="A209">
        <f>Constants!$L$6*11</f>
        <v>44</v>
      </c>
      <c r="B209" s="38" t="str">
        <f>Constants!$M$6</f>
        <v>Leicester Coritanian AC</v>
      </c>
      <c r="C209" t="s">
        <v>22</v>
      </c>
      <c r="D209">
        <f>A209*100+15</f>
        <v>4415</v>
      </c>
      <c r="F209" s="11">
        <f t="shared" si="6"/>
        <v>0</v>
      </c>
      <c r="G209" s="20"/>
      <c r="H209" s="11"/>
    </row>
    <row r="210" spans="1:8" s="18" customFormat="1" ht="30" customHeight="1" hidden="1">
      <c r="A210">
        <f>Constants!$L$6*11</f>
        <v>44</v>
      </c>
      <c r="B210" s="38" t="str">
        <f>Constants!$M$6</f>
        <v>Leicester Coritanian AC</v>
      </c>
      <c r="C210" t="s">
        <v>86</v>
      </c>
      <c r="D210">
        <f>A210*100+16</f>
        <v>4416</v>
      </c>
      <c r="F210" s="11">
        <f t="shared" si="6"/>
        <v>0</v>
      </c>
      <c r="G210" s="20"/>
      <c r="H210" s="11"/>
    </row>
    <row r="211" spans="1:8" s="18" customFormat="1" ht="30" customHeight="1" hidden="1">
      <c r="A211">
        <f>Constants!$L$6*11</f>
        <v>44</v>
      </c>
      <c r="B211" s="38" t="str">
        <f>Constants!$M$6</f>
        <v>Leicester Coritanian AC</v>
      </c>
      <c r="C211" t="s">
        <v>88</v>
      </c>
      <c r="D211">
        <f>A211*100+19</f>
        <v>4419</v>
      </c>
      <c r="F211" s="11">
        <f t="shared" si="6"/>
        <v>0</v>
      </c>
      <c r="G211" s="20"/>
      <c r="H211" s="11"/>
    </row>
    <row r="212" spans="1:8" s="18" customFormat="1" ht="30" customHeight="1" hidden="1">
      <c r="A212">
        <f>Constants!$L$6*11</f>
        <v>44</v>
      </c>
      <c r="B212" s="38" t="str">
        <f>Constants!$M$6</f>
        <v>Leicester Coritanian AC</v>
      </c>
      <c r="C212" t="s">
        <v>87</v>
      </c>
      <c r="D212">
        <f>A212*100+21</f>
        <v>4421</v>
      </c>
      <c r="F212" s="11">
        <f aca="true" t="shared" si="7" ref="F212:F221">H66</f>
        <v>0</v>
      </c>
      <c r="G212" s="20"/>
      <c r="H212" s="11"/>
    </row>
    <row r="213" spans="1:8" s="18" customFormat="1" ht="30" customHeight="1" hidden="1">
      <c r="A213">
        <f>Constants!$L$6*11</f>
        <v>44</v>
      </c>
      <c r="B213" s="38" t="str">
        <f>Constants!$M$6</f>
        <v>Leicester Coritanian AC</v>
      </c>
      <c r="C213" t="s">
        <v>24</v>
      </c>
      <c r="D213">
        <f>A213*100+24</f>
        <v>4424</v>
      </c>
      <c r="F213" s="11">
        <f t="shared" si="7"/>
        <v>0</v>
      </c>
      <c r="G213" s="20"/>
      <c r="H213" s="11"/>
    </row>
    <row r="214" spans="1:8" s="18" customFormat="1" ht="30" customHeight="1" hidden="1">
      <c r="A214">
        <f>Constants!$L$6*11</f>
        <v>44</v>
      </c>
      <c r="B214" s="38" t="str">
        <f>Constants!$M$6</f>
        <v>Leicester Coritanian AC</v>
      </c>
      <c r="C214" t="s">
        <v>57</v>
      </c>
      <c r="D214">
        <f>A214*100+31</f>
        <v>4431</v>
      </c>
      <c r="F214" s="11">
        <f t="shared" si="7"/>
        <v>0</v>
      </c>
      <c r="G214" s="20"/>
      <c r="H214" s="11"/>
    </row>
    <row r="215" spans="1:8" s="18" customFormat="1" ht="30" customHeight="1" hidden="1">
      <c r="A215">
        <f>Constants!$L$6*11</f>
        <v>44</v>
      </c>
      <c r="B215" s="38" t="str">
        <f>Constants!$M$6</f>
        <v>Leicester Coritanian AC</v>
      </c>
      <c r="C215" t="s">
        <v>40</v>
      </c>
      <c r="D215">
        <f>A215*100+32</f>
        <v>4432</v>
      </c>
      <c r="F215" s="11">
        <f t="shared" si="7"/>
        <v>0</v>
      </c>
      <c r="G215" s="20"/>
      <c r="H215" s="11"/>
    </row>
    <row r="216" spans="1:8" s="18" customFormat="1" ht="30" customHeight="1" hidden="1">
      <c r="A216">
        <f>Constants!$L$6*11</f>
        <v>44</v>
      </c>
      <c r="B216" s="38" t="str">
        <f>Constants!$M$6</f>
        <v>Leicester Coritanian AC</v>
      </c>
      <c r="C216" t="s">
        <v>42</v>
      </c>
      <c r="D216">
        <f>A216*100+33</f>
        <v>4433</v>
      </c>
      <c r="F216" s="11">
        <f t="shared" si="7"/>
        <v>0</v>
      </c>
      <c r="G216" s="20"/>
      <c r="H216" s="11"/>
    </row>
    <row r="217" spans="1:8" s="18" customFormat="1" ht="30" customHeight="1" hidden="1">
      <c r="A217">
        <f>Constants!$L$6*11</f>
        <v>44</v>
      </c>
      <c r="B217" s="38" t="str">
        <f>Constants!$M$6</f>
        <v>Leicester Coritanian AC</v>
      </c>
      <c r="C217" t="s">
        <v>41</v>
      </c>
      <c r="D217">
        <f>A217*100+34</f>
        <v>4434</v>
      </c>
      <c r="F217" s="11">
        <f t="shared" si="7"/>
        <v>0</v>
      </c>
      <c r="G217" s="20"/>
      <c r="H217" s="11"/>
    </row>
    <row r="218" spans="1:8" s="18" customFormat="1" ht="30" customHeight="1" hidden="1">
      <c r="A218">
        <f>Constants!$L$6*11</f>
        <v>44</v>
      </c>
      <c r="B218" s="38" t="str">
        <f>Constants!$M$6</f>
        <v>Leicester Coritanian AC</v>
      </c>
      <c r="C218" t="s">
        <v>43</v>
      </c>
      <c r="D218">
        <f>A218*100+35</f>
        <v>4435</v>
      </c>
      <c r="F218" s="11">
        <f t="shared" si="7"/>
        <v>0</v>
      </c>
      <c r="G218" s="20"/>
      <c r="H218" s="11"/>
    </row>
    <row r="219" spans="1:8" s="18" customFormat="1" ht="30" customHeight="1" hidden="1">
      <c r="A219">
        <f>Constants!$L$6*11</f>
        <v>44</v>
      </c>
      <c r="B219" s="38" t="str">
        <f>Constants!$M$6</f>
        <v>Leicester Coritanian AC</v>
      </c>
      <c r="C219" t="s">
        <v>47</v>
      </c>
      <c r="D219">
        <f>A219*100+36</f>
        <v>4436</v>
      </c>
      <c r="F219" s="11">
        <f t="shared" si="7"/>
        <v>0</v>
      </c>
      <c r="G219" s="20"/>
      <c r="H219" s="11"/>
    </row>
    <row r="220" spans="1:8" s="18" customFormat="1" ht="30" customHeight="1" hidden="1">
      <c r="A220">
        <f>Constants!$L$6*11</f>
        <v>44</v>
      </c>
      <c r="B220" s="38" t="str">
        <f>Constants!$M$6</f>
        <v>Leicester Coritanian AC</v>
      </c>
      <c r="C220" t="s">
        <v>44</v>
      </c>
      <c r="D220">
        <f>A220*100+37</f>
        <v>4437</v>
      </c>
      <c r="F220" s="11">
        <f t="shared" si="7"/>
        <v>0</v>
      </c>
      <c r="G220" s="20"/>
      <c r="H220" s="11"/>
    </row>
    <row r="221" spans="1:8" s="18" customFormat="1" ht="30" customHeight="1" hidden="1">
      <c r="A221">
        <f>Constants!$L$6*11</f>
        <v>44</v>
      </c>
      <c r="B221" s="38" t="str">
        <f>Constants!$M$6</f>
        <v>Leicester Coritanian AC</v>
      </c>
      <c r="C221" t="s">
        <v>45</v>
      </c>
      <c r="D221">
        <f>A221*100+38</f>
        <v>4438</v>
      </c>
      <c r="F221" s="11">
        <f t="shared" si="7"/>
        <v>0</v>
      </c>
      <c r="G221" s="20"/>
      <c r="H221" s="11"/>
    </row>
    <row r="222" spans="1:8" s="18" customFormat="1" ht="30" customHeight="1" hidden="1">
      <c r="A222">
        <f>Constants!$L$7*11</f>
        <v>55</v>
      </c>
      <c r="B222" s="38"/>
      <c r="C222" t="s">
        <v>18</v>
      </c>
      <c r="D222">
        <f>A222*100+1</f>
        <v>5501</v>
      </c>
      <c r="F222" s="11">
        <f aca="true" t="shared" si="8" ref="F222:F228">H78</f>
        <v>0</v>
      </c>
      <c r="G222" s="20"/>
      <c r="H222" s="11"/>
    </row>
    <row r="223" spans="1:8" s="18" customFormat="1" ht="30" customHeight="1" hidden="1">
      <c r="A223">
        <f>Constants!$L$7*11</f>
        <v>55</v>
      </c>
      <c r="B223" s="38"/>
      <c r="C223" t="s">
        <v>19</v>
      </c>
      <c r="D223">
        <f>A223*100+2</f>
        <v>5502</v>
      </c>
      <c r="F223" s="11">
        <f t="shared" si="8"/>
        <v>0</v>
      </c>
      <c r="G223" s="20"/>
      <c r="H223" s="11"/>
    </row>
    <row r="224" spans="1:8" s="18" customFormat="1" ht="30" customHeight="1" hidden="1">
      <c r="A224">
        <f>Constants!$L$7*11</f>
        <v>55</v>
      </c>
      <c r="B224" s="38"/>
      <c r="C224" t="s">
        <v>20</v>
      </c>
      <c r="D224">
        <f>A224*100+4</f>
        <v>5504</v>
      </c>
      <c r="F224" s="11">
        <f t="shared" si="8"/>
        <v>0</v>
      </c>
      <c r="G224" s="20"/>
      <c r="H224" s="11"/>
    </row>
    <row r="225" spans="1:8" s="18" customFormat="1" ht="30" customHeight="1" hidden="1">
      <c r="A225">
        <f>Constants!$L$7*11</f>
        <v>55</v>
      </c>
      <c r="B225" s="38"/>
      <c r="C225" t="s">
        <v>21</v>
      </c>
      <c r="D225">
        <f>A225*100+8</f>
        <v>5508</v>
      </c>
      <c r="F225" s="11">
        <f t="shared" si="8"/>
        <v>0</v>
      </c>
      <c r="G225" s="20"/>
      <c r="H225" s="11"/>
    </row>
    <row r="226" spans="1:8" s="18" customFormat="1" ht="30" customHeight="1" hidden="1">
      <c r="A226">
        <f>Constants!$L$7*11</f>
        <v>55</v>
      </c>
      <c r="B226" s="38"/>
      <c r="C226" t="s">
        <v>22</v>
      </c>
      <c r="D226">
        <f>A226*100+15</f>
        <v>5515</v>
      </c>
      <c r="F226" s="11">
        <f t="shared" si="8"/>
        <v>0</v>
      </c>
      <c r="G226" s="20"/>
      <c r="H226" s="11"/>
    </row>
    <row r="227" spans="1:8" s="18" customFormat="1" ht="30" customHeight="1" hidden="1">
      <c r="A227">
        <f>Constants!$L$7*11</f>
        <v>55</v>
      </c>
      <c r="B227" s="38"/>
      <c r="C227" t="s">
        <v>86</v>
      </c>
      <c r="D227">
        <f>A227*100+16</f>
        <v>5516</v>
      </c>
      <c r="F227" s="11">
        <f t="shared" si="8"/>
        <v>0</v>
      </c>
      <c r="G227" s="20"/>
      <c r="H227" s="11"/>
    </row>
    <row r="228" spans="1:8" s="18" customFormat="1" ht="30" customHeight="1" hidden="1">
      <c r="A228">
        <f>Constants!$L$7*11</f>
        <v>55</v>
      </c>
      <c r="B228" s="38"/>
      <c r="C228" t="s">
        <v>88</v>
      </c>
      <c r="D228">
        <f>A228*100+19</f>
        <v>5519</v>
      </c>
      <c r="F228" s="11">
        <f t="shared" si="8"/>
        <v>0</v>
      </c>
      <c r="G228" s="20"/>
      <c r="H228" s="11"/>
    </row>
    <row r="229" spans="1:8" s="18" customFormat="1" ht="30" customHeight="1" hidden="1">
      <c r="A229">
        <f>Constants!$L$7*11</f>
        <v>55</v>
      </c>
      <c r="B229" s="38"/>
      <c r="C229" t="s">
        <v>87</v>
      </c>
      <c r="D229">
        <f>A229*100+21</f>
        <v>5521</v>
      </c>
      <c r="F229" s="11">
        <f aca="true" t="shared" si="9" ref="F229:F238">H85</f>
        <v>0</v>
      </c>
      <c r="G229" s="20"/>
      <c r="H229" s="11"/>
    </row>
    <row r="230" spans="1:8" s="18" customFormat="1" ht="30" customHeight="1" hidden="1">
      <c r="A230">
        <f>Constants!$L$7*11</f>
        <v>55</v>
      </c>
      <c r="B230" s="38"/>
      <c r="C230" t="s">
        <v>24</v>
      </c>
      <c r="D230">
        <f>A230*100+24</f>
        <v>5524</v>
      </c>
      <c r="F230" s="11">
        <f t="shared" si="9"/>
        <v>0</v>
      </c>
      <c r="G230" s="20"/>
      <c r="H230" s="11"/>
    </row>
    <row r="231" spans="1:8" s="18" customFormat="1" ht="30" customHeight="1" hidden="1">
      <c r="A231">
        <f>Constants!$L$7*11</f>
        <v>55</v>
      </c>
      <c r="B231" s="38"/>
      <c r="C231" t="s">
        <v>57</v>
      </c>
      <c r="D231">
        <f>A231*100+31</f>
        <v>5531</v>
      </c>
      <c r="F231" s="11">
        <f t="shared" si="9"/>
        <v>0</v>
      </c>
      <c r="G231" s="20"/>
      <c r="H231" s="11"/>
    </row>
    <row r="232" spans="1:8" s="18" customFormat="1" ht="30" customHeight="1" hidden="1">
      <c r="A232">
        <f>Constants!$L$7*11</f>
        <v>55</v>
      </c>
      <c r="B232" s="38"/>
      <c r="C232" t="s">
        <v>40</v>
      </c>
      <c r="D232">
        <f>A232*100+32</f>
        <v>5532</v>
      </c>
      <c r="F232" s="11">
        <f t="shared" si="9"/>
        <v>0</v>
      </c>
      <c r="G232" s="20"/>
      <c r="H232" s="11"/>
    </row>
    <row r="233" spans="1:8" s="18" customFormat="1" ht="30" customHeight="1" hidden="1">
      <c r="A233">
        <f>Constants!$L$7*11</f>
        <v>55</v>
      </c>
      <c r="B233" s="38"/>
      <c r="C233" t="s">
        <v>42</v>
      </c>
      <c r="D233">
        <f>A233*100+33</f>
        <v>5533</v>
      </c>
      <c r="F233" s="11">
        <f t="shared" si="9"/>
        <v>0</v>
      </c>
      <c r="G233" s="20"/>
      <c r="H233" s="11"/>
    </row>
    <row r="234" spans="1:8" s="18" customFormat="1" ht="30" customHeight="1" hidden="1">
      <c r="A234">
        <f>Constants!$L$7*11</f>
        <v>55</v>
      </c>
      <c r="B234" s="38"/>
      <c r="C234" t="s">
        <v>41</v>
      </c>
      <c r="D234">
        <f>A234*100+34</f>
        <v>5534</v>
      </c>
      <c r="F234" s="11">
        <f t="shared" si="9"/>
        <v>0</v>
      </c>
      <c r="G234" s="20"/>
      <c r="H234" s="11"/>
    </row>
    <row r="235" spans="1:8" s="18" customFormat="1" ht="30" customHeight="1" hidden="1">
      <c r="A235">
        <f>Constants!$L$7*11</f>
        <v>55</v>
      </c>
      <c r="B235" s="38"/>
      <c r="C235" t="s">
        <v>43</v>
      </c>
      <c r="D235">
        <f>A235*100+35</f>
        <v>5535</v>
      </c>
      <c r="F235" s="11">
        <f t="shared" si="9"/>
        <v>0</v>
      </c>
      <c r="G235" s="20"/>
      <c r="H235" s="11"/>
    </row>
    <row r="236" spans="1:8" s="18" customFormat="1" ht="30" customHeight="1" hidden="1">
      <c r="A236">
        <f>Constants!$L$7*11</f>
        <v>55</v>
      </c>
      <c r="B236" s="38"/>
      <c r="C236" t="s">
        <v>47</v>
      </c>
      <c r="D236">
        <f>A236*100+36</f>
        <v>5536</v>
      </c>
      <c r="F236" s="11">
        <f t="shared" si="9"/>
        <v>0</v>
      </c>
      <c r="G236" s="20"/>
      <c r="H236" s="11"/>
    </row>
    <row r="237" spans="1:8" s="18" customFormat="1" ht="30" customHeight="1" hidden="1">
      <c r="A237">
        <f>Constants!$L$7*11</f>
        <v>55</v>
      </c>
      <c r="B237" s="38"/>
      <c r="C237" t="s">
        <v>44</v>
      </c>
      <c r="D237">
        <f>A237*100+37</f>
        <v>5537</v>
      </c>
      <c r="F237" s="11">
        <f t="shared" si="9"/>
        <v>0</v>
      </c>
      <c r="G237" s="20"/>
      <c r="H237" s="11"/>
    </row>
    <row r="238" spans="1:8" s="18" customFormat="1" ht="30" customHeight="1" hidden="1">
      <c r="A238">
        <f>Constants!$L$7*11</f>
        <v>55</v>
      </c>
      <c r="B238" s="38"/>
      <c r="C238" t="s">
        <v>45</v>
      </c>
      <c r="D238">
        <f>A238*100+38</f>
        <v>5538</v>
      </c>
      <c r="F238" s="11">
        <f t="shared" si="9"/>
        <v>0</v>
      </c>
      <c r="G238" s="20"/>
      <c r="H238" s="11"/>
    </row>
    <row r="239" spans="1:8" s="18" customFormat="1" ht="30" customHeight="1" hidden="1">
      <c r="A239">
        <f>Constants!$L$8*11</f>
        <v>66</v>
      </c>
      <c r="B239" s="38"/>
      <c r="C239" t="s">
        <v>18</v>
      </c>
      <c r="D239">
        <f>A239*100+1</f>
        <v>6601</v>
      </c>
      <c r="F239" s="11" t="str">
        <f aca="true" t="shared" si="10" ref="F239:F245">H97</f>
        <v>Seb Steel</v>
      </c>
      <c r="G239" s="20"/>
      <c r="H239" s="11"/>
    </row>
    <row r="240" spans="1:8" s="18" customFormat="1" ht="30" customHeight="1" hidden="1">
      <c r="A240">
        <f>Constants!$L$8*11</f>
        <v>66</v>
      </c>
      <c r="B240" s="38"/>
      <c r="C240" t="s">
        <v>19</v>
      </c>
      <c r="D240">
        <f>A240*100+2</f>
        <v>6602</v>
      </c>
      <c r="F240" s="11" t="str">
        <f t="shared" si="10"/>
        <v>Seb Steel</v>
      </c>
      <c r="G240" s="20"/>
      <c r="H240" s="11"/>
    </row>
    <row r="241" spans="1:8" s="18" customFormat="1" ht="30" customHeight="1" hidden="1">
      <c r="A241">
        <f>Constants!$L$8*11</f>
        <v>66</v>
      </c>
      <c r="B241" s="38"/>
      <c r="C241" t="s">
        <v>20</v>
      </c>
      <c r="D241">
        <f>A241*100+4</f>
        <v>6604</v>
      </c>
      <c r="F241" s="11" t="str">
        <f t="shared" si="10"/>
        <v>Michael Labrum</v>
      </c>
      <c r="G241" s="20"/>
      <c r="H241" s="11"/>
    </row>
    <row r="242" spans="1:8" s="18" customFormat="1" ht="30" customHeight="1" hidden="1">
      <c r="A242">
        <f>Constants!$L$8*11</f>
        <v>66</v>
      </c>
      <c r="B242" s="38"/>
      <c r="C242" t="s">
        <v>21</v>
      </c>
      <c r="D242">
        <f>A242*100+8</f>
        <v>6608</v>
      </c>
      <c r="F242" s="11">
        <f t="shared" si="10"/>
        <v>0</v>
      </c>
      <c r="G242" s="20"/>
      <c r="H242" s="11"/>
    </row>
    <row r="243" spans="1:8" s="18" customFormat="1" ht="30" customHeight="1" hidden="1">
      <c r="A243">
        <f>Constants!$L$8*11</f>
        <v>66</v>
      </c>
      <c r="B243" s="38"/>
      <c r="C243" t="s">
        <v>22</v>
      </c>
      <c r="D243">
        <f>A243*100+15</f>
        <v>6615</v>
      </c>
      <c r="F243" s="11" t="str">
        <f t="shared" si="10"/>
        <v>Liam Marriott</v>
      </c>
      <c r="G243" s="20"/>
      <c r="H243" s="11"/>
    </row>
    <row r="244" spans="1:8" s="18" customFormat="1" ht="30" customHeight="1" hidden="1">
      <c r="A244">
        <f>Constants!$L$8*11</f>
        <v>66</v>
      </c>
      <c r="B244" s="38"/>
      <c r="C244" t="s">
        <v>86</v>
      </c>
      <c r="D244">
        <f>A244*100+16</f>
        <v>6616</v>
      </c>
      <c r="F244" s="11" t="str">
        <f t="shared" si="10"/>
        <v>Stephen Emery</v>
      </c>
      <c r="G244" s="20"/>
      <c r="H244" s="11"/>
    </row>
    <row r="245" spans="1:8" s="18" customFormat="1" ht="30" customHeight="1" hidden="1">
      <c r="A245">
        <f>Constants!$L$8*11</f>
        <v>66</v>
      </c>
      <c r="B245" s="38"/>
      <c r="C245" t="s">
        <v>88</v>
      </c>
      <c r="D245">
        <f>A245*100+19</f>
        <v>6619</v>
      </c>
      <c r="F245" s="11" t="str">
        <f t="shared" si="10"/>
        <v>William Barrowclough</v>
      </c>
      <c r="G245" s="20"/>
      <c r="H245" s="11"/>
    </row>
    <row r="246" spans="1:8" s="18" customFormat="1" ht="30" customHeight="1" hidden="1">
      <c r="A246">
        <f>Constants!$L$8*11</f>
        <v>66</v>
      </c>
      <c r="B246" s="38"/>
      <c r="C246" t="s">
        <v>87</v>
      </c>
      <c r="D246">
        <f>A246*100+21</f>
        <v>6621</v>
      </c>
      <c r="F246" s="11">
        <f aca="true" t="shared" si="11" ref="F246:F255">H104</f>
        <v>0</v>
      </c>
      <c r="G246" s="20"/>
      <c r="H246" s="11"/>
    </row>
    <row r="247" spans="1:8" s="18" customFormat="1" ht="30" customHeight="1" hidden="1">
      <c r="A247">
        <f>Constants!$L$8*11</f>
        <v>66</v>
      </c>
      <c r="B247" s="38"/>
      <c r="C247" t="s">
        <v>24</v>
      </c>
      <c r="D247">
        <f>A247*100+24</f>
        <v>6624</v>
      </c>
      <c r="F247" s="11">
        <f t="shared" si="11"/>
        <v>0</v>
      </c>
      <c r="G247" s="20"/>
      <c r="H247" s="11"/>
    </row>
    <row r="248" spans="1:8" s="18" customFormat="1" ht="30" customHeight="1" hidden="1">
      <c r="A248">
        <f>Constants!$L$8*11</f>
        <v>66</v>
      </c>
      <c r="B248" s="38"/>
      <c r="C248" t="s">
        <v>57</v>
      </c>
      <c r="D248">
        <f>A248*100+31</f>
        <v>6631</v>
      </c>
      <c r="F248" s="11">
        <f t="shared" si="11"/>
        <v>0</v>
      </c>
      <c r="G248" s="20"/>
      <c r="H248" s="11"/>
    </row>
    <row r="249" spans="1:8" s="18" customFormat="1" ht="30" customHeight="1" hidden="1">
      <c r="A249">
        <f>Constants!$L$8*11</f>
        <v>66</v>
      </c>
      <c r="B249" s="38"/>
      <c r="C249" t="s">
        <v>40</v>
      </c>
      <c r="D249">
        <f>A249*100+32</f>
        <v>6632</v>
      </c>
      <c r="F249" s="11" t="str">
        <f t="shared" si="11"/>
        <v>Paul Stone</v>
      </c>
      <c r="G249" s="20"/>
      <c r="H249" s="11"/>
    </row>
    <row r="250" spans="1:8" s="18" customFormat="1" ht="30" customHeight="1" hidden="1">
      <c r="A250">
        <f>Constants!$L$8*11</f>
        <v>66</v>
      </c>
      <c r="B250" s="38"/>
      <c r="C250" t="s">
        <v>42</v>
      </c>
      <c r="D250">
        <f>A250*100+33</f>
        <v>6633</v>
      </c>
      <c r="F250" s="11">
        <f t="shared" si="11"/>
        <v>0</v>
      </c>
      <c r="G250" s="20"/>
      <c r="H250" s="11"/>
    </row>
    <row r="251" spans="1:8" s="18" customFormat="1" ht="30" customHeight="1" hidden="1">
      <c r="A251">
        <f>Constants!$L$8*11</f>
        <v>66</v>
      </c>
      <c r="B251" s="38"/>
      <c r="C251" t="s">
        <v>41</v>
      </c>
      <c r="D251">
        <f>A251*100+34</f>
        <v>6634</v>
      </c>
      <c r="F251" s="11" t="str">
        <f t="shared" si="11"/>
        <v>Paul Stone</v>
      </c>
      <c r="G251" s="20"/>
      <c r="H251" s="11"/>
    </row>
    <row r="252" spans="1:8" s="18" customFormat="1" ht="30" customHeight="1" hidden="1">
      <c r="A252">
        <f>Constants!$L$8*11</f>
        <v>66</v>
      </c>
      <c r="B252" s="38"/>
      <c r="C252" t="s">
        <v>43</v>
      </c>
      <c r="D252">
        <f>A252*100+35</f>
        <v>6635</v>
      </c>
      <c r="F252" s="11">
        <f t="shared" si="11"/>
        <v>0</v>
      </c>
      <c r="G252" s="20"/>
      <c r="H252" s="11"/>
    </row>
    <row r="253" spans="1:8" s="18" customFormat="1" ht="30" customHeight="1" hidden="1">
      <c r="A253">
        <f>Constants!$L$8*11</f>
        <v>66</v>
      </c>
      <c r="B253" s="38"/>
      <c r="C253" t="s">
        <v>47</v>
      </c>
      <c r="D253">
        <f>A253*100+36</f>
        <v>6636</v>
      </c>
      <c r="F253" s="11">
        <f t="shared" si="11"/>
        <v>0</v>
      </c>
      <c r="G253" s="20"/>
      <c r="H253" s="11"/>
    </row>
    <row r="254" spans="1:8" s="18" customFormat="1" ht="30" customHeight="1" hidden="1">
      <c r="A254">
        <f>Constants!$L$8*11</f>
        <v>66</v>
      </c>
      <c r="B254" s="38"/>
      <c r="C254" t="s">
        <v>44</v>
      </c>
      <c r="D254">
        <f>A254*100+37</f>
        <v>6637</v>
      </c>
      <c r="F254" s="11">
        <f t="shared" si="11"/>
        <v>0</v>
      </c>
      <c r="G254" s="20"/>
      <c r="H254" s="11"/>
    </row>
    <row r="255" spans="1:8" s="18" customFormat="1" ht="30" customHeight="1" hidden="1">
      <c r="A255">
        <f>Constants!$L$8*11</f>
        <v>66</v>
      </c>
      <c r="B255" s="38"/>
      <c r="C255" t="s">
        <v>45</v>
      </c>
      <c r="D255">
        <f>A255*100+38</f>
        <v>6638</v>
      </c>
      <c r="F255" s="11" t="str">
        <f t="shared" si="11"/>
        <v>Paul Stone</v>
      </c>
      <c r="G255" s="20"/>
      <c r="H255" s="11"/>
    </row>
    <row r="256" spans="1:8" s="18" customFormat="1" ht="30" customHeight="1" hidden="1">
      <c r="A256">
        <f>Constants!$L$9*11</f>
        <v>77</v>
      </c>
      <c r="B256" s="38"/>
      <c r="C256" t="s">
        <v>18</v>
      </c>
      <c r="D256">
        <f>A256*100+1</f>
        <v>7701</v>
      </c>
      <c r="F256" s="11" t="str">
        <f aca="true" t="shared" si="12" ref="F256:F262">H116</f>
        <v>Nick Crawford</v>
      </c>
      <c r="G256" s="20"/>
      <c r="H256" s="11"/>
    </row>
    <row r="257" spans="1:8" s="18" customFormat="1" ht="30" customHeight="1" hidden="1">
      <c r="A257">
        <f>Constants!$L$9*11</f>
        <v>77</v>
      </c>
      <c r="B257" s="38"/>
      <c r="C257" t="s">
        <v>19</v>
      </c>
      <c r="D257">
        <f>A257*100+2</f>
        <v>7702</v>
      </c>
      <c r="F257" s="11" t="str">
        <f t="shared" si="12"/>
        <v>Daniel Cash</v>
      </c>
      <c r="G257" s="20"/>
      <c r="H257" s="11"/>
    </row>
    <row r="258" spans="1:8" s="18" customFormat="1" ht="30" customHeight="1" hidden="1">
      <c r="A258">
        <f>Constants!$L$9*11</f>
        <v>77</v>
      </c>
      <c r="B258" s="38"/>
      <c r="C258" t="s">
        <v>20</v>
      </c>
      <c r="D258">
        <f>A258*100+4</f>
        <v>7704</v>
      </c>
      <c r="F258" s="11" t="str">
        <f t="shared" si="12"/>
        <v>John Jenkins</v>
      </c>
      <c r="G258" s="20"/>
      <c r="H258" s="11"/>
    </row>
    <row r="259" spans="1:8" s="18" customFormat="1" ht="30" customHeight="1" hidden="1">
      <c r="A259">
        <f>Constants!$L$9*11</f>
        <v>77</v>
      </c>
      <c r="B259" s="38"/>
      <c r="C259" t="s">
        <v>21</v>
      </c>
      <c r="D259">
        <f>A259*100+8</f>
        <v>7708</v>
      </c>
      <c r="F259" s="11" t="str">
        <f t="shared" si="12"/>
        <v>Simon King</v>
      </c>
      <c r="G259" s="20"/>
      <c r="H259" s="11"/>
    </row>
    <row r="260" spans="1:8" s="18" customFormat="1" ht="30" customHeight="1" hidden="1">
      <c r="A260">
        <f>Constants!$L$9*11</f>
        <v>77</v>
      </c>
      <c r="B260" s="38"/>
      <c r="C260" t="s">
        <v>22</v>
      </c>
      <c r="D260">
        <f>A260*100+15</f>
        <v>7715</v>
      </c>
      <c r="F260" s="11" t="str">
        <f t="shared" si="12"/>
        <v>Simon King</v>
      </c>
      <c r="G260" s="20"/>
      <c r="H260" s="11"/>
    </row>
    <row r="261" spans="1:8" s="18" customFormat="1" ht="30" customHeight="1" hidden="1">
      <c r="A261">
        <f>Constants!$L$9*11</f>
        <v>77</v>
      </c>
      <c r="B261" s="38"/>
      <c r="C261" t="s">
        <v>86</v>
      </c>
      <c r="D261">
        <f>A261*100+16</f>
        <v>7716</v>
      </c>
      <c r="F261" s="11" t="str">
        <f t="shared" si="12"/>
        <v>David Levett</v>
      </c>
      <c r="G261" s="20"/>
      <c r="H261" s="11"/>
    </row>
    <row r="262" spans="1:8" s="18" customFormat="1" ht="30" customHeight="1" hidden="1">
      <c r="A262">
        <f>Constants!$L$9*11</f>
        <v>77</v>
      </c>
      <c r="B262" s="38"/>
      <c r="C262" t="s">
        <v>88</v>
      </c>
      <c r="D262">
        <f>A262*100+19</f>
        <v>7719</v>
      </c>
      <c r="F262" s="11">
        <f t="shared" si="12"/>
        <v>0</v>
      </c>
      <c r="G262" s="20"/>
      <c r="H262" s="11"/>
    </row>
    <row r="263" spans="1:8" s="18" customFormat="1" ht="30" customHeight="1" hidden="1">
      <c r="A263">
        <f>Constants!$L$9*11</f>
        <v>77</v>
      </c>
      <c r="B263" s="38"/>
      <c r="C263" t="s">
        <v>87</v>
      </c>
      <c r="D263">
        <f>A263*100+21</f>
        <v>7721</v>
      </c>
      <c r="F263" s="11" t="str">
        <f aca="true" t="shared" si="13" ref="F263:F272">H123</f>
        <v>David Lines</v>
      </c>
      <c r="G263" s="20"/>
      <c r="H263" s="11"/>
    </row>
    <row r="264" spans="1:8" s="18" customFormat="1" ht="30" customHeight="1" hidden="1">
      <c r="A264">
        <f>Constants!$L$9*11</f>
        <v>77</v>
      </c>
      <c r="B264" s="38"/>
      <c r="C264" t="s">
        <v>24</v>
      </c>
      <c r="D264">
        <f>A264*100+24</f>
        <v>7724</v>
      </c>
      <c r="F264" s="11" t="str">
        <f t="shared" si="13"/>
        <v>David Lines</v>
      </c>
      <c r="G264" s="20"/>
      <c r="H264" s="11"/>
    </row>
    <row r="265" spans="1:8" s="18" customFormat="1" ht="30" customHeight="1" hidden="1">
      <c r="A265">
        <f>Constants!$L$9*11</f>
        <v>77</v>
      </c>
      <c r="B265" s="38"/>
      <c r="C265" t="s">
        <v>57</v>
      </c>
      <c r="D265">
        <f>A265*100+31</f>
        <v>7731</v>
      </c>
      <c r="F265" s="11" t="str">
        <f t="shared" si="13"/>
        <v>Juan Padmore</v>
      </c>
      <c r="G265" s="20"/>
      <c r="H265" s="11"/>
    </row>
    <row r="266" spans="1:8" s="18" customFormat="1" ht="30" customHeight="1" hidden="1">
      <c r="A266">
        <f>Constants!$L$9*11</f>
        <v>77</v>
      </c>
      <c r="B266" s="38"/>
      <c r="C266" t="s">
        <v>40</v>
      </c>
      <c r="D266">
        <f>A266*100+32</f>
        <v>7732</v>
      </c>
      <c r="F266" s="11" t="str">
        <f t="shared" si="13"/>
        <v>Daniel Cash</v>
      </c>
      <c r="G266" s="20"/>
      <c r="H266" s="11"/>
    </row>
    <row r="267" spans="1:8" s="18" customFormat="1" ht="30" customHeight="1" hidden="1">
      <c r="A267">
        <f>Constants!$L$9*11</f>
        <v>77</v>
      </c>
      <c r="B267" s="38"/>
      <c r="C267" t="s">
        <v>42</v>
      </c>
      <c r="D267">
        <f>A267*100+33</f>
        <v>7733</v>
      </c>
      <c r="F267" s="11" t="str">
        <f t="shared" si="13"/>
        <v>Nick Crawford</v>
      </c>
      <c r="G267" s="20"/>
      <c r="H267" s="11"/>
    </row>
    <row r="268" spans="1:8" s="18" customFormat="1" ht="30" customHeight="1" hidden="1">
      <c r="A268">
        <f>Constants!$L$9*11</f>
        <v>77</v>
      </c>
      <c r="B268" s="38"/>
      <c r="C268" t="s">
        <v>41</v>
      </c>
      <c r="D268">
        <f>A268*100+34</f>
        <v>7734</v>
      </c>
      <c r="F268" s="11">
        <f t="shared" si="13"/>
        <v>0</v>
      </c>
      <c r="G268" s="20"/>
      <c r="H268" s="11"/>
    </row>
    <row r="269" spans="1:8" s="18" customFormat="1" ht="30" customHeight="1" hidden="1">
      <c r="A269">
        <f>Constants!$L$9*11</f>
        <v>77</v>
      </c>
      <c r="B269" s="38"/>
      <c r="C269" t="s">
        <v>43</v>
      </c>
      <c r="D269">
        <f>A269*100+35</f>
        <v>7735</v>
      </c>
      <c r="F269" s="11" t="str">
        <f t="shared" si="13"/>
        <v>David Levett</v>
      </c>
      <c r="G269" s="20"/>
      <c r="H269" s="11"/>
    </row>
    <row r="270" spans="1:8" s="18" customFormat="1" ht="30" customHeight="1" hidden="1">
      <c r="A270">
        <f>Constants!$L$9*11</f>
        <v>77</v>
      </c>
      <c r="B270" s="38"/>
      <c r="C270" t="s">
        <v>47</v>
      </c>
      <c r="D270">
        <f>A270*100+36</f>
        <v>7736</v>
      </c>
      <c r="F270" s="11" t="str">
        <f t="shared" si="13"/>
        <v>Juan Padmore</v>
      </c>
      <c r="G270" s="20"/>
      <c r="H270" s="11"/>
    </row>
    <row r="271" spans="1:8" s="18" customFormat="1" ht="30" customHeight="1" hidden="1">
      <c r="A271">
        <f>Constants!$L$9*11</f>
        <v>77</v>
      </c>
      <c r="B271" s="38"/>
      <c r="C271" t="s">
        <v>44</v>
      </c>
      <c r="D271">
        <f>A271*100+37</f>
        <v>7737</v>
      </c>
      <c r="F271" s="11" t="str">
        <f t="shared" si="13"/>
        <v>David Levett</v>
      </c>
      <c r="G271" s="20"/>
      <c r="H271" s="11"/>
    </row>
    <row r="272" spans="1:8" s="18" customFormat="1" ht="30" customHeight="1" hidden="1">
      <c r="A272">
        <f>Constants!$L$9*11</f>
        <v>77</v>
      </c>
      <c r="B272" s="38"/>
      <c r="C272" t="s">
        <v>45</v>
      </c>
      <c r="D272">
        <f>A272*100+38</f>
        <v>7738</v>
      </c>
      <c r="F272" s="11" t="str">
        <f t="shared" si="13"/>
        <v>Ashley Smetham</v>
      </c>
      <c r="G272" s="20"/>
      <c r="H272" s="11"/>
    </row>
    <row r="273" spans="1:8" s="18" customFormat="1" ht="30" customHeight="1" hidden="1">
      <c r="A273">
        <f>Constants!$L$10*11</f>
        <v>88</v>
      </c>
      <c r="B273" s="38"/>
      <c r="C273" t="s">
        <v>18</v>
      </c>
      <c r="D273">
        <f>A273*100+1</f>
        <v>8801</v>
      </c>
      <c r="F273" s="11" t="str">
        <f aca="true" t="shared" si="14" ref="F273:F279">H135</f>
        <v>Richard Porter</v>
      </c>
      <c r="G273" s="20"/>
      <c r="H273" s="11"/>
    </row>
    <row r="274" spans="1:8" s="18" customFormat="1" ht="30" customHeight="1" hidden="1">
      <c r="A274">
        <f>Constants!$L$10*11</f>
        <v>88</v>
      </c>
      <c r="B274" s="38"/>
      <c r="C274" t="s">
        <v>19</v>
      </c>
      <c r="D274">
        <f>A274*100+2</f>
        <v>8802</v>
      </c>
      <c r="F274" s="11" t="str">
        <f t="shared" si="14"/>
        <v>Richard Porter</v>
      </c>
      <c r="G274" s="20"/>
      <c r="H274" s="11"/>
    </row>
    <row r="275" spans="1:8" s="18" customFormat="1" ht="30" customHeight="1" hidden="1">
      <c r="A275">
        <f>Constants!$L$10*11</f>
        <v>88</v>
      </c>
      <c r="B275" s="38"/>
      <c r="C275" t="s">
        <v>20</v>
      </c>
      <c r="D275">
        <f>A275*100+4</f>
        <v>8804</v>
      </c>
      <c r="F275" s="11" t="str">
        <f t="shared" si="14"/>
        <v>Leon Ashman</v>
      </c>
      <c r="G275" s="20"/>
      <c r="H275" s="11"/>
    </row>
    <row r="276" spans="1:8" s="18" customFormat="1" ht="30" customHeight="1" hidden="1">
      <c r="A276">
        <f>Constants!$L$10*11</f>
        <v>88</v>
      </c>
      <c r="B276" s="38"/>
      <c r="C276" t="s">
        <v>21</v>
      </c>
      <c r="D276">
        <f>A276*100+8</f>
        <v>8808</v>
      </c>
      <c r="F276" s="11">
        <f t="shared" si="14"/>
        <v>0</v>
      </c>
      <c r="G276" s="20"/>
      <c r="H276" s="11"/>
    </row>
    <row r="277" spans="1:8" s="18" customFormat="1" ht="30" customHeight="1" hidden="1">
      <c r="A277">
        <f>Constants!$L$10*11</f>
        <v>88</v>
      </c>
      <c r="B277" s="38"/>
      <c r="C277" t="s">
        <v>22</v>
      </c>
      <c r="D277">
        <f>A277*100+15</f>
        <v>8815</v>
      </c>
      <c r="F277" s="11">
        <f t="shared" si="14"/>
        <v>0</v>
      </c>
      <c r="G277" s="20"/>
      <c r="H277" s="11"/>
    </row>
    <row r="278" spans="1:8" s="18" customFormat="1" ht="30" customHeight="1" hidden="1">
      <c r="A278">
        <f>Constants!$L$10*11</f>
        <v>88</v>
      </c>
      <c r="B278" s="38"/>
      <c r="C278" t="s">
        <v>86</v>
      </c>
      <c r="D278">
        <f>A278*100+16</f>
        <v>8816</v>
      </c>
      <c r="F278" s="11" t="str">
        <f t="shared" si="14"/>
        <v>Liam Jones-Mansueto</v>
      </c>
      <c r="G278" s="20"/>
      <c r="H278" s="11"/>
    </row>
    <row r="279" spans="1:8" s="18" customFormat="1" ht="30" customHeight="1" hidden="1">
      <c r="A279">
        <f>Constants!$L$10*11</f>
        <v>88</v>
      </c>
      <c r="B279" s="38"/>
      <c r="C279" t="s">
        <v>88</v>
      </c>
      <c r="D279">
        <f>A279*100+19</f>
        <v>8819</v>
      </c>
      <c r="F279" s="11">
        <f t="shared" si="14"/>
        <v>0</v>
      </c>
      <c r="G279" s="20"/>
      <c r="H279" s="11"/>
    </row>
    <row r="280" spans="1:8" s="18" customFormat="1" ht="30" customHeight="1" hidden="1">
      <c r="A280">
        <f>Constants!$L$10*11</f>
        <v>88</v>
      </c>
      <c r="B280" s="38"/>
      <c r="C280" t="s">
        <v>87</v>
      </c>
      <c r="D280">
        <f>A280*100+21</f>
        <v>8821</v>
      </c>
      <c r="F280" s="11">
        <f aca="true" t="shared" si="15" ref="F280:F289">H142</f>
        <v>0</v>
      </c>
      <c r="G280" s="20"/>
      <c r="H280" s="11"/>
    </row>
    <row r="281" spans="1:8" s="18" customFormat="1" ht="30" customHeight="1" hidden="1">
      <c r="A281">
        <f>Constants!$L$10*11</f>
        <v>88</v>
      </c>
      <c r="B281" s="38"/>
      <c r="C281" t="s">
        <v>24</v>
      </c>
      <c r="D281">
        <f>A281*100+24</f>
        <v>8824</v>
      </c>
      <c r="F281" s="11">
        <f t="shared" si="15"/>
        <v>0</v>
      </c>
      <c r="G281" s="20"/>
      <c r="H281" s="11"/>
    </row>
    <row r="282" spans="1:8" s="18" customFormat="1" ht="30" customHeight="1" hidden="1">
      <c r="A282">
        <f>Constants!$L$10*11</f>
        <v>88</v>
      </c>
      <c r="B282" s="38"/>
      <c r="C282" t="s">
        <v>57</v>
      </c>
      <c r="D282">
        <f>A282*100+31</f>
        <v>8831</v>
      </c>
      <c r="F282" s="11" t="str">
        <f t="shared" si="15"/>
        <v>Leon Ashman</v>
      </c>
      <c r="G282" s="20"/>
      <c r="H282" s="11"/>
    </row>
    <row r="283" spans="1:8" s="18" customFormat="1" ht="30" customHeight="1" hidden="1">
      <c r="A283">
        <f>Constants!$L$10*11</f>
        <v>88</v>
      </c>
      <c r="B283" s="38"/>
      <c r="C283" t="s">
        <v>40</v>
      </c>
      <c r="D283">
        <f>A283*100+32</f>
        <v>8832</v>
      </c>
      <c r="F283" s="11" t="str">
        <f t="shared" si="15"/>
        <v>Matt Sinclair</v>
      </c>
      <c r="G283" s="20"/>
      <c r="H283" s="11"/>
    </row>
    <row r="284" spans="1:8" s="18" customFormat="1" ht="30" customHeight="1" hidden="1">
      <c r="A284">
        <f>Constants!$L$10*11</f>
        <v>88</v>
      </c>
      <c r="B284" s="38"/>
      <c r="C284" t="s">
        <v>42</v>
      </c>
      <c r="D284">
        <f>A284*100+33</f>
        <v>8833</v>
      </c>
      <c r="F284" s="11" t="str">
        <f t="shared" si="15"/>
        <v>Ashley Steventon</v>
      </c>
      <c r="G284" s="20"/>
      <c r="H284" s="11"/>
    </row>
    <row r="285" spans="1:8" s="18" customFormat="1" ht="30" customHeight="1" hidden="1">
      <c r="A285">
        <f>Constants!$L$10*11</f>
        <v>88</v>
      </c>
      <c r="B285" s="38"/>
      <c r="C285" t="s">
        <v>41</v>
      </c>
      <c r="D285">
        <f>A285*100+34</f>
        <v>8834</v>
      </c>
      <c r="F285" s="11">
        <f t="shared" si="15"/>
        <v>0</v>
      </c>
      <c r="G285" s="20"/>
      <c r="H285" s="11"/>
    </row>
    <row r="286" spans="1:8" s="18" customFormat="1" ht="30" customHeight="1" hidden="1">
      <c r="A286">
        <f>Constants!$L$10*11</f>
        <v>88</v>
      </c>
      <c r="B286" s="38"/>
      <c r="C286" t="s">
        <v>43</v>
      </c>
      <c r="D286">
        <f>A286*100+35</f>
        <v>8835</v>
      </c>
      <c r="F286" s="11" t="str">
        <f t="shared" si="15"/>
        <v>Jack Bibby</v>
      </c>
      <c r="G286" s="20"/>
      <c r="H286" s="11"/>
    </row>
    <row r="287" spans="1:8" s="18" customFormat="1" ht="30" customHeight="1" hidden="1">
      <c r="A287">
        <f>Constants!$L$10*11</f>
        <v>88</v>
      </c>
      <c r="B287" s="38"/>
      <c r="C287" t="s">
        <v>47</v>
      </c>
      <c r="D287">
        <f>A287*100+36</f>
        <v>8836</v>
      </c>
      <c r="F287" s="11" t="str">
        <f t="shared" si="15"/>
        <v>Tom Dohnal</v>
      </c>
      <c r="G287" s="20"/>
      <c r="H287" s="11"/>
    </row>
    <row r="288" spans="1:8" s="18" customFormat="1" ht="30" customHeight="1" hidden="1">
      <c r="A288">
        <f>Constants!$L$10*11</f>
        <v>88</v>
      </c>
      <c r="B288" s="38"/>
      <c r="C288" t="s">
        <v>44</v>
      </c>
      <c r="D288">
        <f>A288*100+37</f>
        <v>8837</v>
      </c>
      <c r="F288" s="11">
        <f t="shared" si="15"/>
        <v>0</v>
      </c>
      <c r="G288" s="20"/>
      <c r="H288" s="11"/>
    </row>
    <row r="289" spans="1:8" s="18" customFormat="1" ht="30" customHeight="1" hidden="1">
      <c r="A289">
        <f>Constants!$L$10*11</f>
        <v>88</v>
      </c>
      <c r="B289" s="38"/>
      <c r="C289" t="s">
        <v>45</v>
      </c>
      <c r="D289">
        <f>A289*100+38</f>
        <v>8838</v>
      </c>
      <c r="F289" s="11" t="str">
        <f t="shared" si="15"/>
        <v>Matt McCarthy</v>
      </c>
      <c r="G289" s="20"/>
      <c r="H289" s="11"/>
    </row>
    <row r="290" spans="4:8" ht="14.25" hidden="1">
      <c r="D290">
        <v>9999</v>
      </c>
      <c r="F290" t="s">
        <v>46</v>
      </c>
      <c r="H290" t="s">
        <v>46</v>
      </c>
    </row>
    <row r="291" spans="6:8" ht="14.25" hidden="1">
      <c r="F291" t="s">
        <v>74</v>
      </c>
      <c r="H291" t="s">
        <v>74</v>
      </c>
    </row>
    <row r="292" ht="14.25" hidden="1">
      <c r="H292" s="1" t="s">
        <v>49</v>
      </c>
    </row>
    <row r="293" ht="14.25" hidden="1"/>
  </sheetData>
  <printOptions gridLines="1"/>
  <pageMargins left="0.7480314960629921" right="0.7480314960629921" top="0.984251968503937" bottom="0.984251968503937" header="0.5118110236220472" footer="0.5118110236220472"/>
  <pageSetup horizontalDpi="300" verticalDpi="300" orientation="landscape" paperSize="9" r:id="rId1"/>
  <rowBreaks count="8" manualBreakCount="8">
    <brk id="20" max="255" man="1"/>
    <brk id="39" max="255" man="1"/>
    <brk id="58" max="255" man="1"/>
    <brk id="77" max="255" man="1"/>
    <brk id="96" max="255" man="1"/>
    <brk id="115" max="255" man="1"/>
    <brk id="134" max="255" man="1"/>
    <brk id="289" max="255" man="1"/>
  </rowBreaks>
</worksheet>
</file>

<file path=xl/worksheets/sheet5.xml><?xml version="1.0" encoding="utf-8"?>
<worksheet xmlns="http://schemas.openxmlformats.org/spreadsheetml/2006/main" xmlns:r="http://schemas.openxmlformats.org/officeDocument/2006/relationships">
  <dimension ref="A1:L195"/>
  <sheetViews>
    <sheetView zoomScale="75" zoomScaleNormal="75" workbookViewId="0" topLeftCell="A124">
      <selection activeCell="I124" sqref="I124"/>
    </sheetView>
  </sheetViews>
  <sheetFormatPr defaultColWidth="9" defaultRowHeight="14.25"/>
  <cols>
    <col min="1" max="1" width="5.59765625" style="49" customWidth="1"/>
    <col min="2" max="2" width="6.09765625" style="49" hidden="1" customWidth="1"/>
    <col min="3" max="3" width="24.59765625" style="28" customWidth="1"/>
    <col min="4" max="4" width="3.09765625" style="50" customWidth="1"/>
    <col min="5" max="5" width="15.59765625" style="28" customWidth="1"/>
    <col min="6" max="6" width="18.19921875" style="28" customWidth="1"/>
    <col min="7" max="7" width="5.69921875" style="49" customWidth="1"/>
    <col min="8" max="8" width="6.09765625" style="49" hidden="1" customWidth="1"/>
    <col min="9" max="9" width="24.59765625" style="28" customWidth="1"/>
    <col min="10" max="10" width="2.8984375" style="50" customWidth="1"/>
    <col min="11" max="11" width="15.59765625" style="28" customWidth="1"/>
    <col min="12" max="12" width="15.69921875" style="48" customWidth="1"/>
    <col min="13" max="16384" width="9" style="28" customWidth="1"/>
  </cols>
  <sheetData>
    <row r="1" spans="1:11" s="64" customFormat="1" ht="18">
      <c r="A1" s="89" t="s">
        <v>70</v>
      </c>
      <c r="B1" s="89"/>
      <c r="C1" s="89"/>
      <c r="D1" s="89"/>
      <c r="E1" s="89"/>
      <c r="G1" s="89" t="s">
        <v>71</v>
      </c>
      <c r="H1" s="89"/>
      <c r="I1" s="89"/>
      <c r="J1" s="89"/>
      <c r="K1" s="89"/>
    </row>
    <row r="2" spans="1:12" ht="15" customHeight="1">
      <c r="A2" s="27"/>
      <c r="B2" s="27"/>
      <c r="C2" s="27"/>
      <c r="D2" s="57"/>
      <c r="E2" s="27"/>
      <c r="G2" s="27"/>
      <c r="H2" s="27"/>
      <c r="I2" s="27"/>
      <c r="J2" s="57"/>
      <c r="K2" s="27"/>
      <c r="L2" s="46"/>
    </row>
    <row r="3" spans="1:10" ht="14.25">
      <c r="A3" s="47" t="s">
        <v>18</v>
      </c>
      <c r="B3" s="47"/>
      <c r="D3" s="58"/>
      <c r="G3" s="47" t="s">
        <v>18</v>
      </c>
      <c r="H3" s="47"/>
      <c r="J3" s="58"/>
    </row>
    <row r="4" spans="1:11" ht="14.25">
      <c r="A4" s="49">
        <v>1</v>
      </c>
      <c r="B4" s="49">
        <f>IF(D4&gt;0,D4*100+1,0)</f>
        <v>201</v>
      </c>
      <c r="C4" s="28" t="str">
        <f>IF(B4&gt;0,LOOKUP(B4,Declarations!$D$2:$D$290,Declarations!$F$2:$F$290),"")</f>
        <v>Paul McGranchan</v>
      </c>
      <c r="D4" s="22">
        <v>2</v>
      </c>
      <c r="E4" s="28" t="str">
        <f>IF(D4&gt;0,LOOKUP(D4,Constants!$L$2:$L$18,Constants!$M$2:$M$18),"")</f>
        <v>Coventry Godiva Harriers &amp; Sphinx AC</v>
      </c>
      <c r="G4" s="49">
        <v>1</v>
      </c>
      <c r="H4" s="49">
        <f>IF(J4&gt;0,J4*100+1,0)</f>
        <v>2201</v>
      </c>
      <c r="I4" s="28" t="str">
        <f>IF(H4&gt;0,LOOKUP(H4,Declarations!$D$2:$D$290,Declarations!$F$2:$F$290),"")</f>
        <v>Jamie Blundell</v>
      </c>
      <c r="J4" s="22">
        <v>22</v>
      </c>
      <c r="K4" s="28" t="str">
        <f>IF(J4&gt;0,LOOKUP(J4,Constants!$L$2:$L$18,Constants!$M$2:$M$18),"")</f>
        <v>Coventry Godiva Harriers &amp; Sphinx AC</v>
      </c>
    </row>
    <row r="5" spans="1:11" ht="14.25">
      <c r="A5" s="49">
        <v>2</v>
      </c>
      <c r="B5" s="49">
        <f aca="true" t="shared" si="0" ref="B5:B11">IF(D5&gt;0,D5*100+1,0)</f>
        <v>501</v>
      </c>
      <c r="C5" s="28">
        <f>IF(B5&gt;0,LOOKUP(B5,Declarations!$D$2:$D$290,Declarations!$F$2:$F$290),"")</f>
        <v>0</v>
      </c>
      <c r="D5" s="22">
        <v>5</v>
      </c>
      <c r="E5" s="28" t="str">
        <f>IF(D5&gt;0,LOOKUP(D5,Constants!$L$2:$L$18,Constants!$M$2:$M$18),"")</f>
        <v>Nuneaton Harriers</v>
      </c>
      <c r="G5" s="49">
        <v>2</v>
      </c>
      <c r="H5" s="49">
        <f aca="true" t="shared" si="1" ref="H5:H11">IF(J5&gt;0,J5*100+1,0)</f>
        <v>5501</v>
      </c>
      <c r="I5" s="28">
        <f>IF(H5&gt;0,LOOKUP(H5,Declarations!$D$2:$D$290,Declarations!$F$2:$F$290),"")</f>
        <v>0</v>
      </c>
      <c r="J5" s="22">
        <v>55</v>
      </c>
      <c r="K5" s="28" t="str">
        <f>IF(J5&gt;0,LOOKUP(J5,Constants!$L$2:$L$18,Constants!$M$2:$M$18),"")</f>
        <v>Nuneaton Harriers</v>
      </c>
    </row>
    <row r="6" spans="1:11" ht="14.25">
      <c r="A6" s="49">
        <v>3</v>
      </c>
      <c r="B6" s="49">
        <f t="shared" si="0"/>
        <v>801</v>
      </c>
      <c r="C6" s="28" t="str">
        <f>IF(B6&gt;0,LOOKUP(B6,Declarations!$D$2:$D$290,Declarations!$F$2:$F$290),"")</f>
        <v>Martin Chomanicz</v>
      </c>
      <c r="D6" s="22">
        <v>8</v>
      </c>
      <c r="E6" s="28" t="str">
        <f>IF(D6&gt;0,LOOKUP(D6,Constants!$L$2:$L$18,Constants!$M$2:$M$18),"")</f>
        <v>City of Stoke AC</v>
      </c>
      <c r="G6" s="49">
        <v>3</v>
      </c>
      <c r="H6" s="49">
        <f t="shared" si="1"/>
        <v>8801</v>
      </c>
      <c r="I6" s="28" t="str">
        <f>IF(H6&gt;0,LOOKUP(H6,Declarations!$D$2:$D$290,Declarations!$F$2:$F$290),"")</f>
        <v>Richard Porter</v>
      </c>
      <c r="J6" s="22">
        <v>88</v>
      </c>
      <c r="K6" s="28" t="str">
        <f>IF(J6&gt;0,LOOKUP(J6,Constants!$L$2:$L$18,Constants!$M$2:$M$18),"")</f>
        <v>City of Stoke AC</v>
      </c>
    </row>
    <row r="7" spans="1:11" ht="14.25">
      <c r="A7" s="49">
        <v>4</v>
      </c>
      <c r="B7" s="49">
        <f t="shared" si="0"/>
        <v>101</v>
      </c>
      <c r="C7" s="28">
        <f>IF(B7&gt;0,LOOKUP(B7,Declarations!$D$2:$D$290,Declarations!$F$2:$F$290),"")</f>
        <v>0</v>
      </c>
      <c r="D7" s="22">
        <v>1</v>
      </c>
      <c r="E7" s="28" t="str">
        <f>IF(D7&gt;0,LOOKUP(D7,Constants!$L$2:$L$18,Constants!$M$2:$M$18),"")</f>
        <v>Cannock &amp; Staffs AC</v>
      </c>
      <c r="G7" s="49">
        <v>4</v>
      </c>
      <c r="H7" s="49">
        <f t="shared" si="1"/>
        <v>1101</v>
      </c>
      <c r="I7" s="28">
        <f>IF(H7&gt;0,LOOKUP(H7,Declarations!$D$2:$D$290,Declarations!$F$2:$F$290),"")</f>
        <v>0</v>
      </c>
      <c r="J7" s="22">
        <v>11</v>
      </c>
      <c r="K7" s="28" t="str">
        <f>IF(J7&gt;0,LOOKUP(J7,Constants!$L$2:$L$18,Constants!$M$2:$M$18),"")</f>
        <v>Cannock &amp; Staffs AC</v>
      </c>
    </row>
    <row r="8" spans="1:11" ht="14.25">
      <c r="A8" s="49">
        <v>5</v>
      </c>
      <c r="B8" s="49">
        <f t="shared" si="0"/>
        <v>601</v>
      </c>
      <c r="C8" s="28" t="str">
        <f>IF(B8&gt;0,LOOKUP(B8,Declarations!$D$2:$D$290,Declarations!$F$2:$F$290),"")</f>
        <v>Tom Stenton</v>
      </c>
      <c r="D8" s="22">
        <v>6</v>
      </c>
      <c r="E8" s="28" t="str">
        <f>IF(D8&gt;0,LOOKUP(D8,Constants!$L$2:$L$18,Constants!$M$2:$M$18),"")</f>
        <v>Rugby &amp; Northampton AC</v>
      </c>
      <c r="G8" s="49">
        <v>5</v>
      </c>
      <c r="H8" s="49">
        <f t="shared" si="1"/>
        <v>6601</v>
      </c>
      <c r="I8" s="28" t="str">
        <f>IF(H8&gt;0,LOOKUP(H8,Declarations!$D$2:$D$290,Declarations!$F$2:$F$290),"")</f>
        <v>Seb Steel</v>
      </c>
      <c r="J8" s="22">
        <v>66</v>
      </c>
      <c r="K8" s="28" t="str">
        <f>IF(J8&gt;0,LOOKUP(J8,Constants!$L$2:$L$18,Constants!$M$2:$M$18),"")</f>
        <v>Rugby &amp; Northampton AC</v>
      </c>
    </row>
    <row r="9" spans="1:11" ht="14.25">
      <c r="A9" s="49">
        <v>6</v>
      </c>
      <c r="B9" s="49">
        <f t="shared" si="0"/>
        <v>301</v>
      </c>
      <c r="C9" s="28" t="str">
        <f>IF(B9&gt;0,LOOKUP(B9,Declarations!$D$2:$D$290,Declarations!$F$2:$F$290),"")</f>
        <v>Duncan Hawksworth</v>
      </c>
      <c r="D9" s="22">
        <v>3</v>
      </c>
      <c r="E9" s="28" t="str">
        <f>IF(D9&gt;0,LOOKUP(D9,Constants!$L$2:$L$18,Constants!$M$2:$M$18),"")</f>
        <v>Derby AC</v>
      </c>
      <c r="G9" s="49">
        <v>6</v>
      </c>
      <c r="H9" s="49">
        <f t="shared" si="1"/>
        <v>3301</v>
      </c>
      <c r="I9" s="28" t="str">
        <f>IF(H9&gt;0,LOOKUP(H9,Declarations!$D$2:$D$290,Declarations!$F$2:$F$290),"")</f>
        <v>Sam Worrall</v>
      </c>
      <c r="J9" s="22">
        <v>33</v>
      </c>
      <c r="K9" s="28" t="str">
        <f>IF(J9&gt;0,LOOKUP(J9,Constants!$L$2:$L$18,Constants!$M$2:$M$18),"")</f>
        <v>Derby AC</v>
      </c>
    </row>
    <row r="10" spans="1:11" ht="14.25">
      <c r="A10" s="49">
        <v>7</v>
      </c>
      <c r="B10" s="49">
        <f t="shared" si="0"/>
        <v>701</v>
      </c>
      <c r="C10" s="28" t="str">
        <f>IF(B10&gt;0,LOOKUP(B10,Declarations!$D$2:$D$290,Declarations!$F$2:$F$290),"")</f>
        <v>Richard Bown</v>
      </c>
      <c r="D10" s="22">
        <v>7</v>
      </c>
      <c r="E10" s="28" t="str">
        <f>IF(D10&gt;0,LOOKUP(D10,Constants!$L$2:$L$18,Constants!$M$2:$M$18),"")</f>
        <v>Tamworth AC</v>
      </c>
      <c r="G10" s="49">
        <v>7</v>
      </c>
      <c r="H10" s="49">
        <f t="shared" si="1"/>
        <v>7701</v>
      </c>
      <c r="I10" s="28" t="str">
        <f>IF(H10&gt;0,LOOKUP(H10,Declarations!$D$2:$D$290,Declarations!$F$2:$F$290),"")</f>
        <v>Nick Crawford</v>
      </c>
      <c r="J10" s="22">
        <v>77</v>
      </c>
      <c r="K10" s="28" t="str">
        <f>IF(J10&gt;0,LOOKUP(J10,Constants!$L$2:$L$18,Constants!$M$2:$M$18),"")</f>
        <v>Tamworth AC</v>
      </c>
    </row>
    <row r="11" spans="1:11" ht="14.25">
      <c r="A11" s="49">
        <v>8</v>
      </c>
      <c r="B11" s="49">
        <f t="shared" si="0"/>
        <v>401</v>
      </c>
      <c r="C11" s="28" t="str">
        <f>IF(B11&gt;0,LOOKUP(B11,Declarations!$D$2:$D$290,Declarations!$F$2:$F$290),"")</f>
        <v>Wesley Weathers</v>
      </c>
      <c r="D11" s="22">
        <v>4</v>
      </c>
      <c r="E11" s="28" t="str">
        <f>IF(D11&gt;0,LOOKUP(D11,Constants!$L$2:$L$18,Constants!$M$2:$M$18),"")</f>
        <v>Leicester Coritanian AC</v>
      </c>
      <c r="G11" s="49">
        <v>8</v>
      </c>
      <c r="H11" s="49">
        <f t="shared" si="1"/>
        <v>4401</v>
      </c>
      <c r="I11" s="28">
        <f>IF(H11&gt;0,LOOKUP(H11,Declarations!$D$2:$D$290,Declarations!$F$2:$F$290),"")</f>
        <v>0</v>
      </c>
      <c r="J11" s="22">
        <v>44</v>
      </c>
      <c r="K11" s="28" t="str">
        <f>IF(J11&gt;0,LOOKUP(J11,Constants!$L$2:$L$18,Constants!$M$2:$M$18),"")</f>
        <v>Leicester Coritanian AC</v>
      </c>
    </row>
    <row r="13" spans="1:10" ht="14.25">
      <c r="A13" s="47" t="s">
        <v>19</v>
      </c>
      <c r="B13" s="47"/>
      <c r="D13" s="58"/>
      <c r="E13" s="28" t="s">
        <v>48</v>
      </c>
      <c r="G13" s="47" t="s">
        <v>19</v>
      </c>
      <c r="H13" s="47"/>
      <c r="J13" s="58"/>
    </row>
    <row r="14" spans="1:11" ht="14.25">
      <c r="A14" s="49">
        <v>1</v>
      </c>
      <c r="B14" s="49">
        <f>IF(D14&gt;0,D14*100+2,0)</f>
        <v>302</v>
      </c>
      <c r="C14" s="28" t="str">
        <f>IF(B14&gt;0,LOOKUP(B14,Declarations!$D$2:$D$290,Declarations!$F$2:$F$290),"")</f>
        <v>Sam Worrall</v>
      </c>
      <c r="D14" s="22">
        <v>3</v>
      </c>
      <c r="E14" s="28" t="str">
        <f>IF(D14&gt;0,LOOKUP(D14,Constants!$L$2:$L$18,Constants!$M$2:$M$18),"")</f>
        <v>Derby AC</v>
      </c>
      <c r="G14" s="49">
        <v>1</v>
      </c>
      <c r="H14" s="49">
        <f>IF(J14&gt;0,J14*100+2,0)</f>
        <v>3302</v>
      </c>
      <c r="I14" s="28" t="str">
        <f>IF(H14&gt;0,LOOKUP(H14,Declarations!$D$2:$D$290,Declarations!$F$2:$F$290),"")</f>
        <v>Tom Aldred</v>
      </c>
      <c r="J14" s="22">
        <v>33</v>
      </c>
      <c r="K14" s="28" t="str">
        <f>IF(J14&gt;0,LOOKUP(J14,Constants!$L$2:$L$18,Constants!$M$2:$M$18),"")</f>
        <v>Derby AC</v>
      </c>
    </row>
    <row r="15" spans="1:11" ht="14.25">
      <c r="A15" s="49">
        <v>2</v>
      </c>
      <c r="B15" s="49">
        <f aca="true" t="shared" si="2" ref="B15:B21">IF(D15&gt;0,D15*100+2,0)</f>
        <v>402</v>
      </c>
      <c r="C15" s="28" t="str">
        <f>IF(B15&gt;0,LOOKUP(B15,Declarations!$D$2:$D$290,Declarations!$F$2:$F$290),"")</f>
        <v>Wesley Weathers</v>
      </c>
      <c r="D15" s="22">
        <v>4</v>
      </c>
      <c r="E15" s="28" t="str">
        <f>IF(D15&gt;0,LOOKUP(D15,Constants!$L$2:$L$18,Constants!$M$2:$M$18),"")</f>
        <v>Leicester Coritanian AC</v>
      </c>
      <c r="G15" s="49">
        <v>2</v>
      </c>
      <c r="H15" s="49">
        <f aca="true" t="shared" si="3" ref="H15:H21">IF(J15&gt;0,J15*100+2,0)</f>
        <v>4402</v>
      </c>
      <c r="I15" s="28">
        <f>IF(H15&gt;0,LOOKUP(H15,Declarations!$D$2:$D$290,Declarations!$F$2:$F$290),"")</f>
        <v>0</v>
      </c>
      <c r="J15" s="22">
        <v>44</v>
      </c>
      <c r="K15" s="28" t="str">
        <f>IF(J15&gt;0,LOOKUP(J15,Constants!$L$2:$L$18,Constants!$M$2:$M$18),"")</f>
        <v>Leicester Coritanian AC</v>
      </c>
    </row>
    <row r="16" spans="1:11" ht="14.25">
      <c r="A16" s="49">
        <v>3</v>
      </c>
      <c r="B16" s="49">
        <f t="shared" si="2"/>
        <v>502</v>
      </c>
      <c r="C16" s="28">
        <f>IF(B16&gt;0,LOOKUP(B16,Declarations!$D$2:$D$290,Declarations!$F$2:$F$290),"")</f>
        <v>0</v>
      </c>
      <c r="D16" s="22">
        <v>5</v>
      </c>
      <c r="E16" s="28" t="str">
        <f>IF(D16&gt;0,LOOKUP(D16,Constants!$L$2:$L$18,Constants!$M$2:$M$18),"")</f>
        <v>Nuneaton Harriers</v>
      </c>
      <c r="G16" s="49">
        <v>3</v>
      </c>
      <c r="H16" s="49">
        <f t="shared" si="3"/>
        <v>5502</v>
      </c>
      <c r="I16" s="28">
        <f>IF(H16&gt;0,LOOKUP(H16,Declarations!$D$2:$D$290,Declarations!$F$2:$F$290),"")</f>
        <v>0</v>
      </c>
      <c r="J16" s="22">
        <v>55</v>
      </c>
      <c r="K16" s="28" t="str">
        <f>IF(J16&gt;0,LOOKUP(J16,Constants!$L$2:$L$18,Constants!$M$2:$M$18),"")</f>
        <v>Nuneaton Harriers</v>
      </c>
    </row>
    <row r="17" spans="1:11" ht="14.25">
      <c r="A17" s="49">
        <v>4</v>
      </c>
      <c r="B17" s="49">
        <f t="shared" si="2"/>
        <v>602</v>
      </c>
      <c r="C17" s="28" t="str">
        <f>IF(B17&gt;0,LOOKUP(B17,Declarations!$D$2:$D$290,Declarations!$F$2:$F$290),"")</f>
        <v>Tom Stenton</v>
      </c>
      <c r="D17" s="22">
        <v>6</v>
      </c>
      <c r="E17" s="28" t="str">
        <f>IF(D17&gt;0,LOOKUP(D17,Constants!$L$2:$L$18,Constants!$M$2:$M$18),"")</f>
        <v>Rugby &amp; Northampton AC</v>
      </c>
      <c r="G17" s="49">
        <v>4</v>
      </c>
      <c r="H17" s="49">
        <f t="shared" si="3"/>
        <v>6602</v>
      </c>
      <c r="I17" s="28" t="str">
        <f>IF(H17&gt;0,LOOKUP(H17,Declarations!$D$2:$D$290,Declarations!$F$2:$F$290),"")</f>
        <v>Seb Steel</v>
      </c>
      <c r="J17" s="22">
        <v>66</v>
      </c>
      <c r="K17" s="28" t="str">
        <f>IF(J17&gt;0,LOOKUP(J17,Constants!$L$2:$L$18,Constants!$M$2:$M$18),"")</f>
        <v>Rugby &amp; Northampton AC</v>
      </c>
    </row>
    <row r="18" spans="1:11" ht="14.25">
      <c r="A18" s="49">
        <v>5</v>
      </c>
      <c r="B18" s="49">
        <f t="shared" si="2"/>
        <v>202</v>
      </c>
      <c r="C18" s="28" t="str">
        <f>IF(B18&gt;0,LOOKUP(B18,Declarations!$D$2:$D$290,Declarations!$F$2:$F$290),"")</f>
        <v>Oliver Lines</v>
      </c>
      <c r="D18" s="22">
        <v>2</v>
      </c>
      <c r="E18" s="28" t="str">
        <f>IF(D18&gt;0,LOOKUP(D18,Constants!$L$2:$L$18,Constants!$M$2:$M$18),"")</f>
        <v>Coventry Godiva Harriers &amp; Sphinx AC</v>
      </c>
      <c r="G18" s="49">
        <v>5</v>
      </c>
      <c r="H18" s="49">
        <f t="shared" si="3"/>
        <v>2202</v>
      </c>
      <c r="I18" s="28" t="str">
        <f>IF(H18&gt;0,LOOKUP(H18,Declarations!$D$2:$D$290,Declarations!$F$2:$F$290),"")</f>
        <v>Paul McGranchan</v>
      </c>
      <c r="J18" s="22">
        <v>22</v>
      </c>
      <c r="K18" s="28" t="str">
        <f>IF(J18&gt;0,LOOKUP(J18,Constants!$L$2:$L$18,Constants!$M$2:$M$18),"")</f>
        <v>Coventry Godiva Harriers &amp; Sphinx AC</v>
      </c>
    </row>
    <row r="19" spans="1:11" ht="14.25">
      <c r="A19" s="49">
        <v>6</v>
      </c>
      <c r="B19" s="49">
        <f t="shared" si="2"/>
        <v>102</v>
      </c>
      <c r="C19" s="28">
        <f>IF(B19&gt;0,LOOKUP(B19,Declarations!$D$2:$D$290,Declarations!$F$2:$F$290),"")</f>
        <v>0</v>
      </c>
      <c r="D19" s="22">
        <v>1</v>
      </c>
      <c r="E19" s="28" t="str">
        <f>IF(D19&gt;0,LOOKUP(D19,Constants!$L$2:$L$18,Constants!$M$2:$M$18),"")</f>
        <v>Cannock &amp; Staffs AC</v>
      </c>
      <c r="G19" s="49">
        <v>6</v>
      </c>
      <c r="H19" s="49">
        <f t="shared" si="3"/>
        <v>1102</v>
      </c>
      <c r="I19" s="28">
        <f>IF(H19&gt;0,LOOKUP(H19,Declarations!$D$2:$D$290,Declarations!$F$2:$F$290),"")</f>
        <v>0</v>
      </c>
      <c r="J19" s="22">
        <v>11</v>
      </c>
      <c r="K19" s="28" t="str">
        <f>IF(J19&gt;0,LOOKUP(J19,Constants!$L$2:$L$18,Constants!$M$2:$M$18),"")</f>
        <v>Cannock &amp; Staffs AC</v>
      </c>
    </row>
    <row r="20" spans="1:11" ht="14.25">
      <c r="A20" s="49">
        <v>7</v>
      </c>
      <c r="B20" s="49">
        <f t="shared" si="2"/>
        <v>802</v>
      </c>
      <c r="C20" s="28" t="str">
        <f>IF(B20&gt;0,LOOKUP(B20,Declarations!$D$2:$D$290,Declarations!$F$2:$F$290),"")</f>
        <v>Martin Chomanicz</v>
      </c>
      <c r="D20" s="22">
        <v>8</v>
      </c>
      <c r="E20" s="28" t="str">
        <f>IF(D20&gt;0,LOOKUP(D20,Constants!$L$2:$L$18,Constants!$M$2:$M$18),"")</f>
        <v>City of Stoke AC</v>
      </c>
      <c r="G20" s="49">
        <v>7</v>
      </c>
      <c r="H20" s="49">
        <f t="shared" si="3"/>
        <v>8802</v>
      </c>
      <c r="I20" s="28" t="str">
        <f>IF(H20&gt;0,LOOKUP(H20,Declarations!$D$2:$D$290,Declarations!$F$2:$F$290),"")</f>
        <v>Richard Porter</v>
      </c>
      <c r="J20" s="22">
        <v>88</v>
      </c>
      <c r="K20" s="28" t="str">
        <f>IF(J20&gt;0,LOOKUP(J20,Constants!$L$2:$L$18,Constants!$M$2:$M$18),"")</f>
        <v>City of Stoke AC</v>
      </c>
    </row>
    <row r="21" spans="1:11" ht="14.25">
      <c r="A21" s="49">
        <v>8</v>
      </c>
      <c r="B21" s="49">
        <f t="shared" si="2"/>
        <v>702</v>
      </c>
      <c r="C21" s="28" t="str">
        <f>IF(B21&gt;0,LOOKUP(B21,Declarations!$D$2:$D$290,Declarations!$F$2:$F$290),"")</f>
        <v>Richard Bown</v>
      </c>
      <c r="D21" s="22">
        <v>7</v>
      </c>
      <c r="E21" s="28" t="str">
        <f>IF(D21&gt;0,LOOKUP(D21,Constants!$L$2:$L$18,Constants!$M$2:$M$18),"")</f>
        <v>Tamworth AC</v>
      </c>
      <c r="G21" s="49">
        <v>8</v>
      </c>
      <c r="H21" s="49">
        <f t="shared" si="3"/>
        <v>7702</v>
      </c>
      <c r="I21" s="28" t="str">
        <f>IF(H21&gt;0,LOOKUP(H21,Declarations!$D$2:$D$290,Declarations!$F$2:$F$290),"")</f>
        <v>Daniel Cash</v>
      </c>
      <c r="J21" s="22">
        <v>77</v>
      </c>
      <c r="K21" s="28" t="str">
        <f>IF(J21&gt;0,LOOKUP(J21,Constants!$L$2:$L$18,Constants!$M$2:$M$18),"")</f>
        <v>Tamworth AC</v>
      </c>
    </row>
    <row r="23" spans="1:8" ht="14.25">
      <c r="A23" s="47" t="s">
        <v>20</v>
      </c>
      <c r="B23" s="47"/>
      <c r="G23" s="47" t="s">
        <v>20</v>
      </c>
      <c r="H23" s="47"/>
    </row>
    <row r="24" spans="1:11" ht="14.25">
      <c r="A24" s="49">
        <v>1</v>
      </c>
      <c r="B24" s="49">
        <f>IF(D24&gt;0,D24*100+4,0)</f>
        <v>204</v>
      </c>
      <c r="C24" s="28" t="str">
        <f>IF(B24&gt;0,LOOKUP(B24,Declarations!$D$2:$D$290,Declarations!$F$2:$F$290),"")</f>
        <v>Oliver Lines</v>
      </c>
      <c r="D24" s="22">
        <v>2</v>
      </c>
      <c r="E24" s="28" t="str">
        <f>IF(D24&gt;0,LOOKUP(D24,Constants!$L$2:$L$18,Constants!$M$2:$M$18),"")</f>
        <v>Coventry Godiva Harriers &amp; Sphinx AC</v>
      </c>
      <c r="G24" s="49">
        <v>1</v>
      </c>
      <c r="H24" s="49">
        <f>IF(J24&gt;0,J24*100+4,0)</f>
        <v>2204</v>
      </c>
      <c r="I24" s="28" t="str">
        <f>IF(H24&gt;0,LOOKUP(H24,Declarations!$D$2:$D$290,Declarations!$F$2:$F$290),"")</f>
        <v>Rob Bates</v>
      </c>
      <c r="J24" s="22">
        <v>22</v>
      </c>
      <c r="K24" s="28" t="str">
        <f>IF(J24&gt;0,LOOKUP(J24,Constants!$L$2:$L$18,Constants!$M$2:$M$18),"")</f>
        <v>Coventry Godiva Harriers &amp; Sphinx AC</v>
      </c>
    </row>
    <row r="25" spans="1:11" ht="14.25">
      <c r="A25" s="49">
        <v>2</v>
      </c>
      <c r="B25" s="49">
        <f aca="true" t="shared" si="4" ref="B25:B31">IF(D25&gt;0,D25*100+4,0)</f>
        <v>304</v>
      </c>
      <c r="C25" s="28" t="str">
        <f>IF(B25&gt;0,LOOKUP(B25,Declarations!$D$2:$D$290,Declarations!$F$2:$F$290),"")</f>
        <v>Tom Aldred</v>
      </c>
      <c r="D25" s="22">
        <v>3</v>
      </c>
      <c r="E25" s="28" t="str">
        <f>IF(D25&gt;0,LOOKUP(D25,Constants!$L$2:$L$18,Constants!$M$2:$M$18),"")</f>
        <v>Derby AC</v>
      </c>
      <c r="G25" s="49">
        <v>2</v>
      </c>
      <c r="H25" s="49">
        <f aca="true" t="shared" si="5" ref="H25:H31">IF(J25&gt;0,J25*100+4,0)</f>
        <v>3304</v>
      </c>
      <c r="I25" s="28" t="str">
        <f>IF(H25&gt;0,LOOKUP(H25,Declarations!$D$2:$D$290,Declarations!$F$2:$F$290),"")</f>
        <v>Matt Chetwyn</v>
      </c>
      <c r="J25" s="22">
        <v>33</v>
      </c>
      <c r="K25" s="28" t="str">
        <f>IF(J25&gt;0,LOOKUP(J25,Constants!$L$2:$L$18,Constants!$M$2:$M$18),"")</f>
        <v>Derby AC</v>
      </c>
    </row>
    <row r="26" spans="1:11" ht="14.25">
      <c r="A26" s="49">
        <v>3</v>
      </c>
      <c r="B26" s="49">
        <f t="shared" si="4"/>
        <v>404</v>
      </c>
      <c r="C26" s="28">
        <f>IF(B26&gt;0,LOOKUP(B26,Declarations!$D$2:$D$290,Declarations!$F$2:$F$290),"")</f>
        <v>0</v>
      </c>
      <c r="D26" s="22">
        <v>4</v>
      </c>
      <c r="E26" s="28" t="str">
        <f>IF(D26&gt;0,LOOKUP(D26,Constants!$L$2:$L$18,Constants!$M$2:$M$18),"")</f>
        <v>Leicester Coritanian AC</v>
      </c>
      <c r="G26" s="49">
        <v>3</v>
      </c>
      <c r="H26" s="49">
        <f t="shared" si="5"/>
        <v>4404</v>
      </c>
      <c r="I26" s="28">
        <f>IF(H26&gt;0,LOOKUP(H26,Declarations!$D$2:$D$290,Declarations!$F$2:$F$290),"")</f>
        <v>0</v>
      </c>
      <c r="J26" s="22">
        <v>44</v>
      </c>
      <c r="K26" s="28" t="str">
        <f>IF(J26&gt;0,LOOKUP(J26,Constants!$L$2:$L$18,Constants!$M$2:$M$18),"")</f>
        <v>Leicester Coritanian AC</v>
      </c>
    </row>
    <row r="27" spans="1:11" ht="14.25">
      <c r="A27" s="49">
        <v>4</v>
      </c>
      <c r="B27" s="49">
        <f t="shared" si="4"/>
        <v>704</v>
      </c>
      <c r="C27" s="28" t="str">
        <f>IF(B27&gt;0,LOOKUP(B27,Declarations!$D$2:$D$290,Declarations!$F$2:$F$290),"")</f>
        <v>Neil Rudd</v>
      </c>
      <c r="D27" s="22">
        <v>7</v>
      </c>
      <c r="E27" s="28" t="str">
        <f>IF(D27&gt;0,LOOKUP(D27,Constants!$L$2:$L$18,Constants!$M$2:$M$18),"")</f>
        <v>Tamworth AC</v>
      </c>
      <c r="G27" s="49">
        <v>4</v>
      </c>
      <c r="H27" s="49">
        <f t="shared" si="5"/>
        <v>7704</v>
      </c>
      <c r="I27" s="28" t="str">
        <f>IF(H27&gt;0,LOOKUP(H27,Declarations!$D$2:$D$290,Declarations!$F$2:$F$290),"")</f>
        <v>John Jenkins</v>
      </c>
      <c r="J27" s="22">
        <v>77</v>
      </c>
      <c r="K27" s="28" t="str">
        <f>IF(J27&gt;0,LOOKUP(J27,Constants!$L$2:$L$18,Constants!$M$2:$M$18),"")</f>
        <v>Tamworth AC</v>
      </c>
    </row>
    <row r="28" spans="1:11" ht="14.25">
      <c r="A28" s="49">
        <v>5</v>
      </c>
      <c r="B28" s="49">
        <f t="shared" si="4"/>
        <v>804</v>
      </c>
      <c r="C28" s="28" t="str">
        <f>IF(B28&gt;0,LOOKUP(B28,Declarations!$D$2:$D$290,Declarations!$F$2:$F$290),"")</f>
        <v>Matt McCarthy</v>
      </c>
      <c r="D28" s="22">
        <v>8</v>
      </c>
      <c r="E28" s="28" t="str">
        <f>IF(D28&gt;0,LOOKUP(D28,Constants!$L$2:$L$18,Constants!$M$2:$M$18),"")</f>
        <v>City of Stoke AC</v>
      </c>
      <c r="G28" s="49">
        <v>5</v>
      </c>
      <c r="H28" s="49">
        <f t="shared" si="5"/>
        <v>8804</v>
      </c>
      <c r="I28" s="28" t="str">
        <f>IF(H28&gt;0,LOOKUP(H28,Declarations!$D$2:$D$290,Declarations!$F$2:$F$290),"")</f>
        <v>Leon Ashman</v>
      </c>
      <c r="J28" s="22">
        <v>88</v>
      </c>
      <c r="K28" s="28" t="str">
        <f>IF(J28&gt;0,LOOKUP(J28,Constants!$L$2:$L$18,Constants!$M$2:$M$18),"")</f>
        <v>City of Stoke AC</v>
      </c>
    </row>
    <row r="29" spans="1:11" ht="14.25">
      <c r="A29" s="49">
        <v>6</v>
      </c>
      <c r="B29" s="49">
        <f t="shared" si="4"/>
        <v>104</v>
      </c>
      <c r="C29" s="28">
        <f>IF(B29&gt;0,LOOKUP(B29,Declarations!$D$2:$D$290,Declarations!$F$2:$F$290),"")</f>
        <v>0</v>
      </c>
      <c r="D29" s="22">
        <v>1</v>
      </c>
      <c r="E29" s="28" t="str">
        <f>IF(D29&gt;0,LOOKUP(D29,Constants!$L$2:$L$18,Constants!$M$2:$M$18),"")</f>
        <v>Cannock &amp; Staffs AC</v>
      </c>
      <c r="G29" s="49">
        <v>6</v>
      </c>
      <c r="H29" s="49">
        <f t="shared" si="5"/>
        <v>1104</v>
      </c>
      <c r="I29" s="28">
        <f>IF(H29&gt;0,LOOKUP(H29,Declarations!$D$2:$D$290,Declarations!$F$2:$F$290),"")</f>
        <v>0</v>
      </c>
      <c r="J29" s="22">
        <v>11</v>
      </c>
      <c r="K29" s="28" t="str">
        <f>IF(J29&gt;0,LOOKUP(J29,Constants!$L$2:$L$18,Constants!$M$2:$M$18),"")</f>
        <v>Cannock &amp; Staffs AC</v>
      </c>
    </row>
    <row r="30" spans="1:11" ht="14.25">
      <c r="A30" s="49">
        <v>7</v>
      </c>
      <c r="B30" s="49">
        <f t="shared" si="4"/>
        <v>604</v>
      </c>
      <c r="C30" s="28" t="str">
        <f>IF(B30&gt;0,LOOKUP(B30,Declarations!$D$2:$D$290,Declarations!$F$2:$F$290),"")</f>
        <v>Jamie Dains</v>
      </c>
      <c r="D30" s="22">
        <v>6</v>
      </c>
      <c r="E30" s="28" t="str">
        <f>IF(D30&gt;0,LOOKUP(D30,Constants!$L$2:$L$18,Constants!$M$2:$M$18),"")</f>
        <v>Rugby &amp; Northampton AC</v>
      </c>
      <c r="G30" s="49">
        <v>7</v>
      </c>
      <c r="H30" s="49">
        <f t="shared" si="5"/>
        <v>6604</v>
      </c>
      <c r="I30" s="28" t="str">
        <f>IF(H30&gt;0,LOOKUP(H30,Declarations!$D$2:$D$290,Declarations!$F$2:$F$290),"")</f>
        <v>Michael Labrum</v>
      </c>
      <c r="J30" s="22">
        <v>66</v>
      </c>
      <c r="K30" s="28" t="str">
        <f>IF(J30&gt;0,LOOKUP(J30,Constants!$L$2:$L$18,Constants!$M$2:$M$18),"")</f>
        <v>Rugby &amp; Northampton AC</v>
      </c>
    </row>
    <row r="31" spans="1:11" ht="14.25">
      <c r="A31" s="49">
        <v>8</v>
      </c>
      <c r="B31" s="49">
        <f t="shared" si="4"/>
        <v>504</v>
      </c>
      <c r="C31" s="28">
        <f>IF(B31&gt;0,LOOKUP(B31,Declarations!$D$2:$D$290,Declarations!$F$2:$F$290),"")</f>
        <v>0</v>
      </c>
      <c r="D31" s="22">
        <v>5</v>
      </c>
      <c r="E31" s="28" t="str">
        <f>IF(D31&gt;0,LOOKUP(D31,Constants!$L$2:$L$18,Constants!$M$2:$M$18),"")</f>
        <v>Nuneaton Harriers</v>
      </c>
      <c r="G31" s="49">
        <v>8</v>
      </c>
      <c r="H31" s="49">
        <f t="shared" si="5"/>
        <v>5504</v>
      </c>
      <c r="I31" s="28">
        <f>IF(H31&gt;0,LOOKUP(H31,Declarations!$D$2:$D$290,Declarations!$F$2:$F$290),"")</f>
        <v>0</v>
      </c>
      <c r="J31" s="22">
        <v>55</v>
      </c>
      <c r="K31" s="28" t="str">
        <f>IF(J31&gt;0,LOOKUP(J31,Constants!$L$2:$L$18,Constants!$M$2:$M$18),"")</f>
        <v>Nuneaton Harriers</v>
      </c>
    </row>
    <row r="33" spans="1:8" ht="14.25">
      <c r="A33" s="47" t="s">
        <v>21</v>
      </c>
      <c r="B33" s="47"/>
      <c r="G33" s="47" t="s">
        <v>21</v>
      </c>
      <c r="H33" s="47"/>
    </row>
    <row r="34" spans="1:11" ht="14.25">
      <c r="A34" s="49">
        <v>1</v>
      </c>
      <c r="B34" s="49">
        <f>IF(D34&gt;0,D34*100+8,0)</f>
        <v>408</v>
      </c>
      <c r="C34" s="28">
        <f>IF(B34&gt;0,LOOKUP(B34,Declarations!$D$2:$D$290,Declarations!$F$2:$F$290),"")</f>
        <v>0</v>
      </c>
      <c r="D34" s="22">
        <v>4</v>
      </c>
      <c r="E34" s="28" t="str">
        <f>IF(D34&gt;0,LOOKUP(D34,Constants!$L$2:$L$18,Constants!$M$2:$M$18),"")</f>
        <v>Leicester Coritanian AC</v>
      </c>
      <c r="G34" s="49">
        <v>1</v>
      </c>
      <c r="H34" s="49">
        <f>IF(J34&gt;0,J34*100+8,0)</f>
        <v>4408</v>
      </c>
      <c r="I34" s="28">
        <f>IF(H34&gt;0,LOOKUP(H34,Declarations!$D$2:$D$290,Declarations!$F$2:$F$290),"")</f>
        <v>0</v>
      </c>
      <c r="J34" s="22">
        <v>44</v>
      </c>
      <c r="K34" s="28" t="str">
        <f>IF(J34&gt;0,LOOKUP(J34,Constants!$L$2:$L$18,Constants!$M$2:$M$18),"")</f>
        <v>Leicester Coritanian AC</v>
      </c>
    </row>
    <row r="35" spans="1:11" ht="14.25">
      <c r="A35" s="49">
        <v>2</v>
      </c>
      <c r="B35" s="49">
        <f aca="true" t="shared" si="6" ref="B35:B41">IF(D35&gt;0,D35*100+8,0)</f>
        <v>208</v>
      </c>
      <c r="C35" s="28" t="str">
        <f>IF(B35&gt;0,LOOKUP(B35,Declarations!$D$2:$D$290,Declarations!$F$2:$F$290),"")</f>
        <v>Rob Bates</v>
      </c>
      <c r="D35" s="22">
        <v>2</v>
      </c>
      <c r="E35" s="28" t="str">
        <f>IF(D35&gt;0,LOOKUP(D35,Constants!$L$2:$L$18,Constants!$M$2:$M$18),"")</f>
        <v>Coventry Godiva Harriers &amp; Sphinx AC</v>
      </c>
      <c r="G35" s="49">
        <v>2</v>
      </c>
      <c r="H35" s="49">
        <f aca="true" t="shared" si="7" ref="H35:H41">IF(J35&gt;0,J35*100+8,0)</f>
        <v>2208</v>
      </c>
      <c r="I35" s="28" t="str">
        <f>IF(H35&gt;0,LOOKUP(H35,Declarations!$D$2:$D$290,Declarations!$F$2:$F$290),"")</f>
        <v>Ben Jones</v>
      </c>
      <c r="J35" s="22">
        <v>22</v>
      </c>
      <c r="K35" s="28" t="str">
        <f>IF(J35&gt;0,LOOKUP(J35,Constants!$L$2:$L$18,Constants!$M$2:$M$18),"")</f>
        <v>Coventry Godiva Harriers &amp; Sphinx AC</v>
      </c>
    </row>
    <row r="36" spans="1:11" ht="14.25">
      <c r="A36" s="49">
        <v>3</v>
      </c>
      <c r="B36" s="49">
        <f t="shared" si="6"/>
        <v>608</v>
      </c>
      <c r="C36" s="28" t="str">
        <f>IF(B36&gt;0,LOOKUP(B36,Declarations!$D$2:$D$290,Declarations!$F$2:$F$290),"")</f>
        <v>Ciaran Acford</v>
      </c>
      <c r="D36" s="22">
        <v>6</v>
      </c>
      <c r="E36" s="28" t="str">
        <f>IF(D36&gt;0,LOOKUP(D36,Constants!$L$2:$L$18,Constants!$M$2:$M$18),"")</f>
        <v>Rugby &amp; Northampton AC</v>
      </c>
      <c r="G36" s="49">
        <v>3</v>
      </c>
      <c r="H36" s="49">
        <f t="shared" si="7"/>
        <v>6608</v>
      </c>
      <c r="I36" s="28">
        <f>IF(H36&gt;0,LOOKUP(H36,Declarations!$D$2:$D$290,Declarations!$F$2:$F$290),"")</f>
        <v>0</v>
      </c>
      <c r="J36" s="22">
        <v>66</v>
      </c>
      <c r="K36" s="28" t="str">
        <f>IF(J36&gt;0,LOOKUP(J36,Constants!$L$2:$L$18,Constants!$M$2:$M$18),"")</f>
        <v>Rugby &amp; Northampton AC</v>
      </c>
    </row>
    <row r="37" spans="1:11" ht="14.25">
      <c r="A37" s="49">
        <v>4</v>
      </c>
      <c r="B37" s="49">
        <f t="shared" si="6"/>
        <v>808</v>
      </c>
      <c r="C37" s="28" t="str">
        <f>IF(B37&gt;0,LOOKUP(B37,Declarations!$D$2:$D$290,Declarations!$F$2:$F$290),"")</f>
        <v>Carl Shubotham</v>
      </c>
      <c r="D37" s="22">
        <v>8</v>
      </c>
      <c r="E37" s="28" t="str">
        <f>IF(D37&gt;0,LOOKUP(D37,Constants!$L$2:$L$18,Constants!$M$2:$M$18),"")</f>
        <v>City of Stoke AC</v>
      </c>
      <c r="G37" s="49">
        <v>4</v>
      </c>
      <c r="H37" s="49">
        <f t="shared" si="7"/>
        <v>8808</v>
      </c>
      <c r="I37" s="28">
        <f>IF(H37&gt;0,LOOKUP(H37,Declarations!$D$2:$D$290,Declarations!$F$2:$F$290),"")</f>
        <v>0</v>
      </c>
      <c r="J37" s="22">
        <v>88</v>
      </c>
      <c r="K37" s="28" t="str">
        <f>IF(J37&gt;0,LOOKUP(J37,Constants!$L$2:$L$18,Constants!$M$2:$M$18),"")</f>
        <v>City of Stoke AC</v>
      </c>
    </row>
    <row r="38" spans="1:11" ht="14.25">
      <c r="A38" s="49">
        <v>5</v>
      </c>
      <c r="B38" s="49">
        <f t="shared" si="6"/>
        <v>708</v>
      </c>
      <c r="C38" s="28" t="str">
        <f>IF(B38&gt;0,LOOKUP(B38,Declarations!$D$2:$D$290,Declarations!$F$2:$F$290),"")</f>
        <v>John Jenkins</v>
      </c>
      <c r="D38" s="22">
        <v>7</v>
      </c>
      <c r="E38" s="28" t="str">
        <f>IF(D38&gt;0,LOOKUP(D38,Constants!$L$2:$L$18,Constants!$M$2:$M$18),"")</f>
        <v>Tamworth AC</v>
      </c>
      <c r="G38" s="49">
        <v>5</v>
      </c>
      <c r="H38" s="49">
        <f t="shared" si="7"/>
        <v>7708</v>
      </c>
      <c r="I38" s="28" t="str">
        <f>IF(H38&gt;0,LOOKUP(H38,Declarations!$D$2:$D$290,Declarations!$F$2:$F$290),"")</f>
        <v>Simon King</v>
      </c>
      <c r="J38" s="22">
        <v>77</v>
      </c>
      <c r="K38" s="28" t="str">
        <f>IF(J38&gt;0,LOOKUP(J38,Constants!$L$2:$L$18,Constants!$M$2:$M$18),"")</f>
        <v>Tamworth AC</v>
      </c>
    </row>
    <row r="39" spans="1:11" ht="14.25">
      <c r="A39" s="49">
        <v>6</v>
      </c>
      <c r="B39" s="49">
        <f t="shared" si="6"/>
        <v>308</v>
      </c>
      <c r="C39" s="28" t="str">
        <f>IF(B39&gt;0,LOOKUP(B39,Declarations!$D$2:$D$290,Declarations!$F$2:$F$290),"")</f>
        <v>Jordan Wildrianne</v>
      </c>
      <c r="D39" s="22">
        <v>3</v>
      </c>
      <c r="E39" s="28" t="str">
        <f>IF(D39&gt;0,LOOKUP(D39,Constants!$L$2:$L$18,Constants!$M$2:$M$18),"")</f>
        <v>Derby AC</v>
      </c>
      <c r="G39" s="49">
        <v>6</v>
      </c>
      <c r="H39" s="49">
        <f t="shared" si="7"/>
        <v>3308</v>
      </c>
      <c r="I39" s="28" t="str">
        <f>IF(H39&gt;0,LOOKUP(H39,Declarations!$D$2:$D$290,Declarations!$F$2:$F$290),"")</f>
        <v>Frankie Insley</v>
      </c>
      <c r="J39" s="22">
        <v>33</v>
      </c>
      <c r="K39" s="28" t="str">
        <f>IF(J39&gt;0,LOOKUP(J39,Constants!$L$2:$L$18,Constants!$M$2:$M$18),"")</f>
        <v>Derby AC</v>
      </c>
    </row>
    <row r="40" spans="1:11" ht="14.25">
      <c r="A40" s="49">
        <v>7</v>
      </c>
      <c r="B40" s="49">
        <f t="shared" si="6"/>
        <v>508</v>
      </c>
      <c r="C40" s="28" t="str">
        <f>IF(B40&gt;0,LOOKUP(B40,Declarations!$D$2:$D$290,Declarations!$F$2:$F$290),"")</f>
        <v>Andy Colman</v>
      </c>
      <c r="D40" s="22">
        <v>5</v>
      </c>
      <c r="E40" s="28" t="str">
        <f>IF(D40&gt;0,LOOKUP(D40,Constants!$L$2:$L$18,Constants!$M$2:$M$18),"")</f>
        <v>Nuneaton Harriers</v>
      </c>
      <c r="G40" s="49">
        <v>7</v>
      </c>
      <c r="H40" s="49">
        <f t="shared" si="7"/>
        <v>5508</v>
      </c>
      <c r="I40" s="28">
        <f>IF(H40&gt;0,LOOKUP(H40,Declarations!$D$2:$D$290,Declarations!$F$2:$F$290),"")</f>
        <v>0</v>
      </c>
      <c r="J40" s="22">
        <v>55</v>
      </c>
      <c r="K40" s="28" t="str">
        <f>IF(J40&gt;0,LOOKUP(J40,Constants!$L$2:$L$18,Constants!$M$2:$M$18),"")</f>
        <v>Nuneaton Harriers</v>
      </c>
    </row>
    <row r="41" spans="1:11" ht="14.25">
      <c r="A41" s="49">
        <v>8</v>
      </c>
      <c r="B41" s="49">
        <f t="shared" si="6"/>
        <v>108</v>
      </c>
      <c r="C41" s="28" t="str">
        <f>IF(B41&gt;0,LOOKUP(B41,Declarations!$D$2:$D$290,Declarations!$F$2:$F$290),"")</f>
        <v>James Houghton</v>
      </c>
      <c r="D41" s="22">
        <v>1</v>
      </c>
      <c r="E41" s="28" t="str">
        <f>IF(D41&gt;0,LOOKUP(D41,Constants!$L$2:$L$18,Constants!$M$2:$M$18),"")</f>
        <v>Cannock &amp; Staffs AC</v>
      </c>
      <c r="G41" s="49">
        <v>8</v>
      </c>
      <c r="H41" s="49">
        <f t="shared" si="7"/>
        <v>1108</v>
      </c>
      <c r="I41" s="28" t="str">
        <f>IF(H41&gt;0,LOOKUP(H41,Declarations!$D$2:$D$290,Declarations!$F$2:$F$290),"")</f>
        <v>Chris Harvey</v>
      </c>
      <c r="J41" s="22">
        <v>11</v>
      </c>
      <c r="K41" s="28" t="str">
        <f>IF(J41&gt;0,LOOKUP(J41,Constants!$L$2:$L$18,Constants!$M$2:$M$18),"")</f>
        <v>Cannock &amp; Staffs AC</v>
      </c>
    </row>
    <row r="43" spans="1:8" ht="14.25">
      <c r="A43" s="47" t="s">
        <v>22</v>
      </c>
      <c r="B43" s="47"/>
      <c r="G43" s="47" t="s">
        <v>22</v>
      </c>
      <c r="H43" s="47"/>
    </row>
    <row r="44" spans="1:11" ht="14.25">
      <c r="A44" s="49">
        <v>1</v>
      </c>
      <c r="B44" s="49">
        <f>IF(D44&gt;0,D44*100+15,0)</f>
        <v>215</v>
      </c>
      <c r="C44" s="28" t="str">
        <f>IF(B44&gt;0,LOOKUP(B44,Declarations!$D$2:$D$290,Declarations!$F$2:$F$290),"")</f>
        <v>Alistair Smith</v>
      </c>
      <c r="D44" s="22">
        <v>2</v>
      </c>
      <c r="E44" s="28" t="str">
        <f>IF(D44&gt;0,LOOKUP(D44,Constants!$L$2:$L$18,Constants!$M$2:$M$18),"")</f>
        <v>Coventry Godiva Harriers &amp; Sphinx AC</v>
      </c>
      <c r="G44" s="49">
        <v>1</v>
      </c>
      <c r="H44" s="49">
        <f>IF(J44&gt;0,J44*100+15,0)</f>
        <v>2215</v>
      </c>
      <c r="I44" s="28" t="str">
        <f>IF(H44&gt;0,LOOKUP(H44,Declarations!$D$2:$D$290,Declarations!$F$2:$F$290),"")</f>
        <v>Ben Jones</v>
      </c>
      <c r="J44" s="22">
        <v>22</v>
      </c>
      <c r="K44" s="28" t="str">
        <f>IF(J44&gt;0,LOOKUP(J44,Constants!$L$2:$L$18,Constants!$M$2:$M$18),"")</f>
        <v>Coventry Godiva Harriers &amp; Sphinx AC</v>
      </c>
    </row>
    <row r="45" spans="1:11" ht="14.25">
      <c r="A45" s="49">
        <v>2</v>
      </c>
      <c r="B45" s="49">
        <f aca="true" t="shared" si="8" ref="B45:B51">IF(D45&gt;0,D45*100+15,0)</f>
        <v>315</v>
      </c>
      <c r="C45" s="28" t="str">
        <f>IF(B45&gt;0,LOOKUP(B45,Declarations!$D$2:$D$290,Declarations!$F$2:$F$290),"")</f>
        <v>Sam Payne</v>
      </c>
      <c r="D45" s="22">
        <v>3</v>
      </c>
      <c r="E45" s="28" t="str">
        <f>IF(D45&gt;0,LOOKUP(D45,Constants!$L$2:$L$18,Constants!$M$2:$M$18),"")</f>
        <v>Derby AC</v>
      </c>
      <c r="G45" s="49">
        <v>2</v>
      </c>
      <c r="H45" s="49">
        <f aca="true" t="shared" si="9" ref="H45:H51">IF(J45&gt;0,J45*100+15,0)</f>
        <v>3315</v>
      </c>
      <c r="I45" s="28" t="str">
        <f>IF(H45&gt;0,LOOKUP(H45,Declarations!$D$2:$D$290,Declarations!$F$2:$F$290),"")</f>
        <v>Matt Payne</v>
      </c>
      <c r="J45" s="22">
        <v>33</v>
      </c>
      <c r="K45" s="28" t="str">
        <f>IF(J45&gt;0,LOOKUP(J45,Constants!$L$2:$L$18,Constants!$M$2:$M$18),"")</f>
        <v>Derby AC</v>
      </c>
    </row>
    <row r="46" spans="1:11" ht="14.25">
      <c r="A46" s="49">
        <v>3</v>
      </c>
      <c r="B46" s="49">
        <f t="shared" si="8"/>
        <v>415</v>
      </c>
      <c r="C46" s="28" t="str">
        <f>IF(B46&gt;0,LOOKUP(B46,Declarations!$D$2:$D$290,Declarations!$F$2:$F$290),"")</f>
        <v>Joe Knowles</v>
      </c>
      <c r="D46" s="22">
        <v>4</v>
      </c>
      <c r="E46" s="28" t="str">
        <f>IF(D46&gt;0,LOOKUP(D46,Constants!$L$2:$L$18,Constants!$M$2:$M$18),"")</f>
        <v>Leicester Coritanian AC</v>
      </c>
      <c r="G46" s="49">
        <v>3</v>
      </c>
      <c r="H46" s="49">
        <f t="shared" si="9"/>
        <v>4415</v>
      </c>
      <c r="I46" s="28">
        <f>IF(H46&gt;0,LOOKUP(H46,Declarations!$D$2:$D$290,Declarations!$F$2:$F$290),"")</f>
        <v>0</v>
      </c>
      <c r="J46" s="22">
        <v>44</v>
      </c>
      <c r="K46" s="28" t="str">
        <f>IF(J46&gt;0,LOOKUP(J46,Constants!$L$2:$L$18,Constants!$M$2:$M$18),"")</f>
        <v>Leicester Coritanian AC</v>
      </c>
    </row>
    <row r="47" spans="1:11" ht="14.25">
      <c r="A47" s="49">
        <v>4</v>
      </c>
      <c r="B47" s="49">
        <f t="shared" si="8"/>
        <v>715</v>
      </c>
      <c r="C47" s="28" t="str">
        <f>IF(B47&gt;0,LOOKUP(B47,Declarations!$D$2:$D$290,Declarations!$F$2:$F$290),"")</f>
        <v>Adam Bache</v>
      </c>
      <c r="D47" s="22">
        <v>7</v>
      </c>
      <c r="E47" s="28" t="str">
        <f>IF(D47&gt;0,LOOKUP(D47,Constants!$L$2:$L$18,Constants!$M$2:$M$18),"")</f>
        <v>Tamworth AC</v>
      </c>
      <c r="G47" s="49">
        <v>4</v>
      </c>
      <c r="H47" s="49">
        <f t="shared" si="9"/>
        <v>7715</v>
      </c>
      <c r="I47" s="28" t="str">
        <f>IF(H47&gt;0,LOOKUP(H47,Declarations!$D$2:$D$290,Declarations!$F$2:$F$290),"")</f>
        <v>Simon King</v>
      </c>
      <c r="J47" s="22">
        <v>77</v>
      </c>
      <c r="K47" s="28" t="str">
        <f>IF(J47&gt;0,LOOKUP(J47,Constants!$L$2:$L$18,Constants!$M$2:$M$18),"")</f>
        <v>Tamworth AC</v>
      </c>
    </row>
    <row r="48" spans="1:11" ht="14.25">
      <c r="A48" s="49">
        <v>5</v>
      </c>
      <c r="B48" s="49">
        <f t="shared" si="8"/>
        <v>815</v>
      </c>
      <c r="C48" s="28" t="str">
        <f>IF(B48&gt;0,LOOKUP(B48,Declarations!$D$2:$D$290,Declarations!$F$2:$F$290),"")</f>
        <v>Carl Shubotham</v>
      </c>
      <c r="D48" s="22">
        <v>8</v>
      </c>
      <c r="E48" s="28" t="str">
        <f>IF(D48&gt;0,LOOKUP(D48,Constants!$L$2:$L$18,Constants!$M$2:$M$18),"")</f>
        <v>City of Stoke AC</v>
      </c>
      <c r="G48" s="49">
        <v>5</v>
      </c>
      <c r="H48" s="49">
        <f t="shared" si="9"/>
        <v>8815</v>
      </c>
      <c r="I48" s="28">
        <f>IF(H48&gt;0,LOOKUP(H48,Declarations!$D$2:$D$290,Declarations!$F$2:$F$290),"")</f>
        <v>0</v>
      </c>
      <c r="J48" s="22">
        <v>88</v>
      </c>
      <c r="K48" s="28" t="str">
        <f>IF(J48&gt;0,LOOKUP(J48,Constants!$L$2:$L$18,Constants!$M$2:$M$18),"")</f>
        <v>City of Stoke AC</v>
      </c>
    </row>
    <row r="49" spans="1:11" ht="14.25">
      <c r="A49" s="49">
        <v>6</v>
      </c>
      <c r="B49" s="49">
        <f t="shared" si="8"/>
        <v>115</v>
      </c>
      <c r="C49" s="28" t="str">
        <f>IF(B49&gt;0,LOOKUP(B49,Declarations!$D$2:$D$290,Declarations!$F$2:$F$290),"")</f>
        <v>Ben Taylor</v>
      </c>
      <c r="D49" s="22">
        <v>1</v>
      </c>
      <c r="E49" s="28" t="str">
        <f>IF(D49&gt;0,LOOKUP(D49,Constants!$L$2:$L$18,Constants!$M$2:$M$18),"")</f>
        <v>Cannock &amp; Staffs AC</v>
      </c>
      <c r="G49" s="49">
        <v>6</v>
      </c>
      <c r="H49" s="49">
        <f t="shared" si="9"/>
        <v>1115</v>
      </c>
      <c r="I49" s="28" t="str">
        <f>IF(H49&gt;0,LOOKUP(H49,Declarations!$D$2:$D$290,Declarations!$F$2:$F$290),"")</f>
        <v>James Houghton</v>
      </c>
      <c r="J49" s="22">
        <v>11</v>
      </c>
      <c r="K49" s="28" t="str">
        <f>IF(J49&gt;0,LOOKUP(J49,Constants!$L$2:$L$18,Constants!$M$2:$M$18),"")</f>
        <v>Cannock &amp; Staffs AC</v>
      </c>
    </row>
    <row r="50" spans="1:11" ht="14.25">
      <c r="A50" s="49">
        <v>7</v>
      </c>
      <c r="B50" s="49">
        <f t="shared" si="8"/>
        <v>615</v>
      </c>
      <c r="C50" s="28" t="str">
        <f>IF(B50&gt;0,LOOKUP(B50,Declarations!$D$2:$D$290,Declarations!$F$2:$F$290),"")</f>
        <v>Liam Ratcliffe</v>
      </c>
      <c r="D50" s="22">
        <v>6</v>
      </c>
      <c r="E50" s="28" t="str">
        <f>IF(D50&gt;0,LOOKUP(D50,Constants!$L$2:$L$18,Constants!$M$2:$M$18),"")</f>
        <v>Rugby &amp; Northampton AC</v>
      </c>
      <c r="G50" s="49">
        <v>7</v>
      </c>
      <c r="H50" s="49">
        <f t="shared" si="9"/>
        <v>6615</v>
      </c>
      <c r="I50" s="28" t="str">
        <f>IF(H50&gt;0,LOOKUP(H50,Declarations!$D$2:$D$290,Declarations!$F$2:$F$290),"")</f>
        <v>Liam Marriott</v>
      </c>
      <c r="J50" s="22">
        <v>66</v>
      </c>
      <c r="K50" s="28" t="str">
        <f>IF(J50&gt;0,LOOKUP(J50,Constants!$L$2:$L$18,Constants!$M$2:$M$18),"")</f>
        <v>Rugby &amp; Northampton AC</v>
      </c>
    </row>
    <row r="51" spans="1:11" ht="14.25">
      <c r="A51" s="49">
        <v>8</v>
      </c>
      <c r="B51" s="49">
        <f t="shared" si="8"/>
        <v>515</v>
      </c>
      <c r="C51" s="28">
        <f>IF(B51&gt;0,LOOKUP(B51,Declarations!$D$2:$D$290,Declarations!$F$2:$F$290),"")</f>
        <v>0</v>
      </c>
      <c r="D51" s="22">
        <v>5</v>
      </c>
      <c r="E51" s="28" t="str">
        <f>IF(D51&gt;0,LOOKUP(D51,Constants!$L$2:$L$18,Constants!$M$2:$M$18),"")</f>
        <v>Nuneaton Harriers</v>
      </c>
      <c r="G51" s="49">
        <v>8</v>
      </c>
      <c r="H51" s="49">
        <f t="shared" si="9"/>
        <v>5515</v>
      </c>
      <c r="I51" s="28">
        <f>IF(H51&gt;0,LOOKUP(H51,Declarations!$D$2:$D$290,Declarations!$F$2:$F$290),"")</f>
        <v>0</v>
      </c>
      <c r="J51" s="22">
        <v>55</v>
      </c>
      <c r="K51" s="28" t="str">
        <f>IF(J51&gt;0,LOOKUP(J51,Constants!$L$2:$L$18,Constants!$M$2:$M$18),"")</f>
        <v>Nuneaton Harriers</v>
      </c>
    </row>
    <row r="52" ht="14.25">
      <c r="D52" s="22"/>
    </row>
    <row r="53" spans="1:8" ht="14.25">
      <c r="A53" s="47" t="s">
        <v>129</v>
      </c>
      <c r="B53" s="47"/>
      <c r="G53" s="47" t="s">
        <v>129</v>
      </c>
      <c r="H53" s="47"/>
    </row>
    <row r="54" spans="1:11" ht="14.25">
      <c r="A54" s="49">
        <v>1</v>
      </c>
      <c r="B54" s="49">
        <f>IF(D54&gt;0,D54*100+16,0)</f>
        <v>416</v>
      </c>
      <c r="C54" s="28">
        <f>IF(B54&gt;0,LOOKUP(B54,Declarations!$D$2:$D$290,Declarations!$F$2:$F$290),"")</f>
        <v>0</v>
      </c>
      <c r="D54" s="22">
        <v>4</v>
      </c>
      <c r="E54" s="28" t="str">
        <f>IF(D54&gt;0,LOOKUP(D54,Constants!$L$2:$L$18,Constants!$M$2:$M$18),"")</f>
        <v>Leicester Coritanian AC</v>
      </c>
      <c r="G54" s="49">
        <v>1</v>
      </c>
      <c r="H54" s="49">
        <f>IF(J54&gt;0,J54*100+16,0)</f>
        <v>4416</v>
      </c>
      <c r="I54" s="28">
        <f>IF(H54&gt;0,LOOKUP(H54,Declarations!$D$2:$D$290,Declarations!$F$2:$F$290),"")</f>
        <v>0</v>
      </c>
      <c r="J54" s="22">
        <v>44</v>
      </c>
      <c r="K54" s="28" t="str">
        <f>IF(J54&gt;0,LOOKUP(J54,Constants!$L$2:$L$18,Constants!$M$2:$M$18),"")</f>
        <v>Leicester Coritanian AC</v>
      </c>
    </row>
    <row r="55" spans="1:11" ht="14.25">
      <c r="A55" s="49">
        <v>2</v>
      </c>
      <c r="B55" s="49">
        <f aca="true" t="shared" si="10" ref="B55:B61">IF(D55&gt;0,D55*100+16,0)</f>
        <v>216</v>
      </c>
      <c r="C55" s="28" t="str">
        <f>IF(B55&gt;0,LOOKUP(B55,Declarations!$D$2:$D$290,Declarations!$F$2:$F$290),"")</f>
        <v>Harvey Speed</v>
      </c>
      <c r="D55" s="22">
        <v>2</v>
      </c>
      <c r="E55" s="28" t="str">
        <f>IF(D55&gt;0,LOOKUP(D55,Constants!$L$2:$L$18,Constants!$M$2:$M$18),"")</f>
        <v>Coventry Godiva Harriers &amp; Sphinx AC</v>
      </c>
      <c r="G55" s="49">
        <v>2</v>
      </c>
      <c r="H55" s="49">
        <f aca="true" t="shared" si="11" ref="H55:H61">IF(J55&gt;0,J55*100+16,0)</f>
        <v>2216</v>
      </c>
      <c r="I55" s="28" t="str">
        <f>IF(H55&gt;0,LOOKUP(H55,Declarations!$D$2:$D$290,Declarations!$F$2:$F$290),"")</f>
        <v>George Hill</v>
      </c>
      <c r="J55" s="22">
        <v>22</v>
      </c>
      <c r="K55" s="28" t="str">
        <f>IF(J55&gt;0,LOOKUP(J55,Constants!$L$2:$L$18,Constants!$M$2:$M$18),"")</f>
        <v>Coventry Godiva Harriers &amp; Sphinx AC</v>
      </c>
    </row>
    <row r="56" spans="1:11" ht="14.25">
      <c r="A56" s="49">
        <v>3</v>
      </c>
      <c r="B56" s="49">
        <f t="shared" si="10"/>
        <v>616</v>
      </c>
      <c r="C56" s="28" t="str">
        <f>IF(B56&gt;0,LOOKUP(B56,Declarations!$D$2:$D$290,Declarations!$F$2:$F$290),"")</f>
        <v>Stephen Milner</v>
      </c>
      <c r="D56" s="22">
        <v>6</v>
      </c>
      <c r="E56" s="28" t="str">
        <f>IF(D56&gt;0,LOOKUP(D56,Constants!$L$2:$L$18,Constants!$M$2:$M$18),"")</f>
        <v>Rugby &amp; Northampton AC</v>
      </c>
      <c r="G56" s="49">
        <v>3</v>
      </c>
      <c r="H56" s="49">
        <f t="shared" si="11"/>
        <v>6616</v>
      </c>
      <c r="I56" s="28" t="str">
        <f>IF(H56&gt;0,LOOKUP(H56,Declarations!$D$2:$D$290,Declarations!$F$2:$F$290),"")</f>
        <v>Stephen Emery</v>
      </c>
      <c r="J56" s="22">
        <v>66</v>
      </c>
      <c r="K56" s="28" t="str">
        <f>IF(J56&gt;0,LOOKUP(J56,Constants!$L$2:$L$18,Constants!$M$2:$M$18),"")</f>
        <v>Rugby &amp; Northampton AC</v>
      </c>
    </row>
    <row r="57" spans="1:11" ht="14.25">
      <c r="A57" s="49">
        <v>4</v>
      </c>
      <c r="B57" s="49">
        <f t="shared" si="10"/>
        <v>816</v>
      </c>
      <c r="C57" s="28" t="str">
        <f>IF(B57&gt;0,LOOKUP(B57,Declarations!$D$2:$D$290,Declarations!$F$2:$F$290),"")</f>
        <v>Alex Derricott</v>
      </c>
      <c r="D57" s="22">
        <v>8</v>
      </c>
      <c r="E57" s="28" t="str">
        <f>IF(D57&gt;0,LOOKUP(D57,Constants!$L$2:$L$18,Constants!$M$2:$M$18),"")</f>
        <v>City of Stoke AC</v>
      </c>
      <c r="G57" s="49">
        <v>4</v>
      </c>
      <c r="H57" s="49">
        <f t="shared" si="11"/>
        <v>8816</v>
      </c>
      <c r="I57" s="28" t="str">
        <f>IF(H57&gt;0,LOOKUP(H57,Declarations!$D$2:$D$290,Declarations!$F$2:$F$290),"")</f>
        <v>Liam Jones-Mansueto</v>
      </c>
      <c r="J57" s="22">
        <v>88</v>
      </c>
      <c r="K57" s="28" t="str">
        <f>IF(J57&gt;0,LOOKUP(J57,Constants!$L$2:$L$18,Constants!$M$2:$M$18),"")</f>
        <v>City of Stoke AC</v>
      </c>
    </row>
    <row r="58" spans="1:11" ht="14.25">
      <c r="A58" s="49">
        <v>5</v>
      </c>
      <c r="B58" s="49">
        <f t="shared" si="10"/>
        <v>716</v>
      </c>
      <c r="C58" s="28" t="str">
        <f>IF(B58&gt;0,LOOKUP(B58,Declarations!$D$2:$D$290,Declarations!$F$2:$F$290),"")</f>
        <v>Adam Bache</v>
      </c>
      <c r="D58" s="22">
        <v>7</v>
      </c>
      <c r="E58" s="28" t="str">
        <f>IF(D58&gt;0,LOOKUP(D58,Constants!$L$2:$L$18,Constants!$M$2:$M$18),"")</f>
        <v>Tamworth AC</v>
      </c>
      <c r="G58" s="49">
        <v>5</v>
      </c>
      <c r="H58" s="49">
        <f t="shared" si="11"/>
        <v>7716</v>
      </c>
      <c r="I58" s="28" t="str">
        <f>IF(H58&gt;0,LOOKUP(H58,Declarations!$D$2:$D$290,Declarations!$F$2:$F$290),"")</f>
        <v>David Levett</v>
      </c>
      <c r="J58" s="22">
        <v>77</v>
      </c>
      <c r="K58" s="28" t="str">
        <f>IF(J58&gt;0,LOOKUP(J58,Constants!$L$2:$L$18,Constants!$M$2:$M$18),"")</f>
        <v>Tamworth AC</v>
      </c>
    </row>
    <row r="59" spans="1:11" ht="14.25">
      <c r="A59" s="49">
        <v>6</v>
      </c>
      <c r="B59" s="49">
        <f t="shared" si="10"/>
        <v>316</v>
      </c>
      <c r="C59" s="28" t="str">
        <f>IF(B59&gt;0,LOOKUP(B59,Declarations!$D$2:$D$290,Declarations!$F$2:$F$290),"")</f>
        <v>Tom Lawrence</v>
      </c>
      <c r="D59" s="22">
        <v>3</v>
      </c>
      <c r="E59" s="28" t="str">
        <f>IF(D59&gt;0,LOOKUP(D59,Constants!$L$2:$L$18,Constants!$M$2:$M$18),"")</f>
        <v>Derby AC</v>
      </c>
      <c r="G59" s="49">
        <v>6</v>
      </c>
      <c r="H59" s="49">
        <f t="shared" si="11"/>
        <v>3316</v>
      </c>
      <c r="I59" s="28" t="str">
        <f>IF(H59&gt;0,LOOKUP(H59,Declarations!$D$2:$D$290,Declarations!$F$2:$F$290),"")</f>
        <v>Chris Davison</v>
      </c>
      <c r="J59" s="22">
        <v>33</v>
      </c>
      <c r="K59" s="28" t="str">
        <f>IF(J59&gt;0,LOOKUP(J59,Constants!$L$2:$L$18,Constants!$M$2:$M$18),"")</f>
        <v>Derby AC</v>
      </c>
    </row>
    <row r="60" spans="1:11" ht="14.25">
      <c r="A60" s="49">
        <v>7</v>
      </c>
      <c r="B60" s="49">
        <f t="shared" si="10"/>
        <v>516</v>
      </c>
      <c r="C60" s="28">
        <f>IF(B60&gt;0,LOOKUP(B60,Declarations!$D$2:$D$290,Declarations!$F$2:$F$290),"")</f>
        <v>0</v>
      </c>
      <c r="D60" s="22">
        <v>5</v>
      </c>
      <c r="E60" s="28" t="str">
        <f>IF(D60&gt;0,LOOKUP(D60,Constants!$L$2:$L$18,Constants!$M$2:$M$18),"")</f>
        <v>Nuneaton Harriers</v>
      </c>
      <c r="G60" s="49">
        <v>7</v>
      </c>
      <c r="H60" s="49">
        <f t="shared" si="11"/>
        <v>5516</v>
      </c>
      <c r="I60" s="28">
        <f>IF(H60&gt;0,LOOKUP(H60,Declarations!$D$2:$D$290,Declarations!$F$2:$F$290),"")</f>
        <v>0</v>
      </c>
      <c r="J60" s="22">
        <v>55</v>
      </c>
      <c r="K60" s="28" t="str">
        <f>IF(J60&gt;0,LOOKUP(J60,Constants!$L$2:$L$18,Constants!$M$2:$M$18),"")</f>
        <v>Nuneaton Harriers</v>
      </c>
    </row>
    <row r="61" spans="1:11" ht="14.25">
      <c r="A61" s="49">
        <v>8</v>
      </c>
      <c r="B61" s="49">
        <f t="shared" si="10"/>
        <v>116</v>
      </c>
      <c r="C61" s="28" t="str">
        <f>IF(B61&gt;0,LOOKUP(B61,Declarations!$D$2:$D$290,Declarations!$F$2:$F$290),"")</f>
        <v>Ian McCann</v>
      </c>
      <c r="D61" s="22">
        <v>1</v>
      </c>
      <c r="E61" s="28" t="str">
        <f>IF(D61&gt;0,LOOKUP(D61,Constants!$L$2:$L$18,Constants!$M$2:$M$18),"")</f>
        <v>Cannock &amp; Staffs AC</v>
      </c>
      <c r="G61" s="49">
        <v>8</v>
      </c>
      <c r="H61" s="49">
        <f t="shared" si="11"/>
        <v>1116</v>
      </c>
      <c r="I61" s="28">
        <f>IF(H61&gt;0,LOOKUP(H61,Declarations!$D$2:$D$290,Declarations!$F$2:$F$290),"")</f>
        <v>0</v>
      </c>
      <c r="J61" s="22">
        <v>11</v>
      </c>
      <c r="K61" s="28" t="str">
        <f>IF(J61&gt;0,LOOKUP(J61,Constants!$L$2:$L$18,Constants!$M$2:$M$18),"")</f>
        <v>Cannock &amp; Staffs AC</v>
      </c>
    </row>
    <row r="63" spans="1:8" ht="14.25">
      <c r="A63" s="47" t="s">
        <v>130</v>
      </c>
      <c r="B63" s="47"/>
      <c r="G63" s="47" t="s">
        <v>130</v>
      </c>
      <c r="H63" s="47"/>
    </row>
    <row r="64" spans="1:11" ht="14.25">
      <c r="A64" s="49">
        <v>1</v>
      </c>
      <c r="B64" s="49">
        <f>IF(D64&gt;0,D64*100+19,0)</f>
        <v>519</v>
      </c>
      <c r="C64" s="28" t="str">
        <f>IF(B64&gt;0,LOOKUP(B64,Declarations!$D$2:$D$290,Declarations!$F$2:$F$290),"")</f>
        <v>Callum Clarke</v>
      </c>
      <c r="D64" s="22">
        <v>5</v>
      </c>
      <c r="E64" s="28" t="str">
        <f>IF(D64&gt;0,LOOKUP(D64,Constants!$L$2:$L$18,Constants!$M$2:$M$18),"")</f>
        <v>Nuneaton Harriers</v>
      </c>
      <c r="G64" s="49">
        <v>1</v>
      </c>
      <c r="H64" s="49">
        <f>IF(J64&gt;0,J64*100+19,0)</f>
        <v>5519</v>
      </c>
      <c r="I64" s="28">
        <f>IF(H64&gt;0,LOOKUP(H64,Declarations!$D$2:$D$290,Declarations!$F$2:$F$290),"")</f>
        <v>0</v>
      </c>
      <c r="J64" s="22">
        <v>55</v>
      </c>
      <c r="K64" s="28" t="str">
        <f>IF(J64&gt;0,LOOKUP(J64,Constants!$L$2:$L$18,Constants!$M$2:$M$18),"")</f>
        <v>Nuneaton Harriers</v>
      </c>
    </row>
    <row r="65" spans="1:11" ht="14.25">
      <c r="A65" s="49">
        <v>2</v>
      </c>
      <c r="B65" s="49">
        <f aca="true" t="shared" si="12" ref="B65:B71">IF(D65&gt;0,D65*100+19,0)</f>
        <v>619</v>
      </c>
      <c r="C65" s="28" t="str">
        <f>IF(B65&gt;0,LOOKUP(B65,Declarations!$D$2:$D$290,Declarations!$F$2:$F$290),"")</f>
        <v>Sam Wright</v>
      </c>
      <c r="D65" s="22">
        <v>6</v>
      </c>
      <c r="E65" s="28" t="str">
        <f>IF(D65&gt;0,LOOKUP(D65,Constants!$L$2:$L$18,Constants!$M$2:$M$18),"")</f>
        <v>Rugby &amp; Northampton AC</v>
      </c>
      <c r="G65" s="49">
        <v>2</v>
      </c>
      <c r="H65" s="49">
        <f aca="true" t="shared" si="13" ref="H65:H71">IF(J65&gt;0,J65*100+19,0)</f>
        <v>6619</v>
      </c>
      <c r="I65" s="28" t="str">
        <f>IF(H65&gt;0,LOOKUP(H65,Declarations!$D$2:$D$290,Declarations!$F$2:$F$290),"")</f>
        <v>William Barrowclough</v>
      </c>
      <c r="J65" s="22">
        <v>66</v>
      </c>
      <c r="K65" s="28" t="str">
        <f>IF(J65&gt;0,LOOKUP(J65,Constants!$L$2:$L$18,Constants!$M$2:$M$18),"")</f>
        <v>Rugby &amp; Northampton AC</v>
      </c>
    </row>
    <row r="66" spans="1:11" ht="14.25">
      <c r="A66" s="49">
        <v>3</v>
      </c>
      <c r="B66" s="49">
        <f t="shared" si="12"/>
        <v>719</v>
      </c>
      <c r="C66" s="28" t="str">
        <f>IF(B66&gt;0,LOOKUP(B66,Declarations!$D$2:$D$290,Declarations!$F$2:$F$290),"")</f>
        <v>Ashley Smetham</v>
      </c>
      <c r="D66" s="22">
        <v>7</v>
      </c>
      <c r="E66" s="28" t="str">
        <f>IF(D66&gt;0,LOOKUP(D66,Constants!$L$2:$L$18,Constants!$M$2:$M$18),"")</f>
        <v>Tamworth AC</v>
      </c>
      <c r="G66" s="49">
        <v>3</v>
      </c>
      <c r="H66" s="49">
        <f t="shared" si="13"/>
        <v>7719</v>
      </c>
      <c r="I66" s="28">
        <f>IF(H66&gt;0,LOOKUP(H66,Declarations!$D$2:$D$290,Declarations!$F$2:$F$290),"")</f>
        <v>0</v>
      </c>
      <c r="J66" s="22">
        <v>77</v>
      </c>
      <c r="K66" s="28" t="str">
        <f>IF(J66&gt;0,LOOKUP(J66,Constants!$L$2:$L$18,Constants!$M$2:$M$18),"")</f>
        <v>Tamworth AC</v>
      </c>
    </row>
    <row r="67" spans="1:11" ht="14.25">
      <c r="A67" s="49">
        <v>4</v>
      </c>
      <c r="B67" s="49">
        <f t="shared" si="12"/>
        <v>419</v>
      </c>
      <c r="C67" s="28">
        <f>IF(B67&gt;0,LOOKUP(B67,Declarations!$D$2:$D$290,Declarations!$F$2:$F$290),"")</f>
        <v>0</v>
      </c>
      <c r="D67" s="22">
        <v>4</v>
      </c>
      <c r="E67" s="28" t="str">
        <f>IF(D67&gt;0,LOOKUP(D67,Constants!$L$2:$L$18,Constants!$M$2:$M$18),"")</f>
        <v>Leicester Coritanian AC</v>
      </c>
      <c r="G67" s="49">
        <v>4</v>
      </c>
      <c r="H67" s="49">
        <f t="shared" si="13"/>
        <v>4419</v>
      </c>
      <c r="I67" s="28">
        <f>IF(H67&gt;0,LOOKUP(H67,Declarations!$D$2:$D$290,Declarations!$F$2:$F$290),"")</f>
        <v>0</v>
      </c>
      <c r="J67" s="22">
        <v>44</v>
      </c>
      <c r="K67" s="28" t="str">
        <f>IF(J67&gt;0,LOOKUP(J67,Constants!$L$2:$L$18,Constants!$M$2:$M$18),"")</f>
        <v>Leicester Coritanian AC</v>
      </c>
    </row>
    <row r="68" spans="1:11" ht="14.25">
      <c r="A68" s="49">
        <v>5</v>
      </c>
      <c r="B68" s="49">
        <f t="shared" si="12"/>
        <v>219</v>
      </c>
      <c r="C68" s="28" t="str">
        <f>IF(B68&gt;0,LOOKUP(B68,Declarations!$D$2:$D$290,Declarations!$F$2:$F$290),"")</f>
        <v>Harvey Speed</v>
      </c>
      <c r="D68" s="22">
        <v>2</v>
      </c>
      <c r="E68" s="28" t="str">
        <f>IF(D68&gt;0,LOOKUP(D68,Constants!$L$2:$L$18,Constants!$M$2:$M$18),"")</f>
        <v>Coventry Godiva Harriers &amp; Sphinx AC</v>
      </c>
      <c r="G68" s="49">
        <v>5</v>
      </c>
      <c r="H68" s="49">
        <f t="shared" si="13"/>
        <v>2219</v>
      </c>
      <c r="I68" s="28" t="str">
        <f>IF(H68&gt;0,LOOKUP(H68,Declarations!$D$2:$D$290,Declarations!$F$2:$F$290),"")</f>
        <v>Luke Tolly</v>
      </c>
      <c r="J68" s="22">
        <v>22</v>
      </c>
      <c r="K68" s="28" t="str">
        <f>IF(J68&gt;0,LOOKUP(J68,Constants!$L$2:$L$18,Constants!$M$2:$M$18),"")</f>
        <v>Coventry Godiva Harriers &amp; Sphinx AC</v>
      </c>
    </row>
    <row r="69" spans="1:11" ht="14.25">
      <c r="A69" s="49">
        <v>6</v>
      </c>
      <c r="B69" s="49">
        <f t="shared" si="12"/>
        <v>119</v>
      </c>
      <c r="C69" s="28">
        <f>IF(B69&gt;0,LOOKUP(B69,Declarations!$D$2:$D$290,Declarations!$F$2:$F$290),"")</f>
        <v>0</v>
      </c>
      <c r="D69" s="22">
        <v>1</v>
      </c>
      <c r="E69" s="28" t="str">
        <f>IF(D69&gt;0,LOOKUP(D69,Constants!$L$2:$L$18,Constants!$M$2:$M$18),"")</f>
        <v>Cannock &amp; Staffs AC</v>
      </c>
      <c r="G69" s="49">
        <v>6</v>
      </c>
      <c r="H69" s="49">
        <f t="shared" si="13"/>
        <v>1119</v>
      </c>
      <c r="I69" s="28">
        <f>IF(H69&gt;0,LOOKUP(H69,Declarations!$D$2:$D$290,Declarations!$F$2:$F$290),"")</f>
        <v>0</v>
      </c>
      <c r="J69" s="22">
        <v>11</v>
      </c>
      <c r="K69" s="28" t="str">
        <f>IF(J69&gt;0,LOOKUP(J69,Constants!$L$2:$L$18,Constants!$M$2:$M$18),"")</f>
        <v>Cannock &amp; Staffs AC</v>
      </c>
    </row>
    <row r="70" spans="1:11" ht="14.25">
      <c r="A70" s="49">
        <v>7</v>
      </c>
      <c r="B70" s="49">
        <f t="shared" si="12"/>
        <v>319</v>
      </c>
      <c r="C70" s="28" t="str">
        <f>IF(B70&gt;0,LOOKUP(B70,Declarations!$D$2:$D$290,Declarations!$F$2:$F$290),"")</f>
        <v>Sam Payne</v>
      </c>
      <c r="D70" s="22">
        <v>3</v>
      </c>
      <c r="E70" s="28" t="str">
        <f>IF(D70&gt;0,LOOKUP(D70,Constants!$L$2:$L$18,Constants!$M$2:$M$18),"")</f>
        <v>Derby AC</v>
      </c>
      <c r="G70" s="49">
        <v>7</v>
      </c>
      <c r="H70" s="49">
        <f t="shared" si="13"/>
        <v>3319</v>
      </c>
      <c r="I70" s="28">
        <f>IF(H70&gt;0,LOOKUP(H70,Declarations!$D$2:$D$290,Declarations!$F$2:$F$290),"")</f>
        <v>0</v>
      </c>
      <c r="J70" s="22">
        <v>33</v>
      </c>
      <c r="K70" s="28" t="str">
        <f>IF(J70&gt;0,LOOKUP(J70,Constants!$L$2:$L$18,Constants!$M$2:$M$18),"")</f>
        <v>Derby AC</v>
      </c>
    </row>
    <row r="71" spans="1:11" ht="14.25">
      <c r="A71" s="49">
        <v>8</v>
      </c>
      <c r="B71" s="49">
        <f t="shared" si="12"/>
        <v>819</v>
      </c>
      <c r="C71" s="28" t="str">
        <f>IF(B71&gt;0,LOOKUP(B71,Declarations!$D$2:$D$290,Declarations!$F$2:$F$290),"")</f>
        <v>Fred Mainwaring</v>
      </c>
      <c r="D71" s="22">
        <v>8</v>
      </c>
      <c r="E71" s="28" t="str">
        <f>IF(D71&gt;0,LOOKUP(D71,Constants!$L$2:$L$18,Constants!$M$2:$M$18),"")</f>
        <v>City of Stoke AC</v>
      </c>
      <c r="G71" s="49">
        <v>8</v>
      </c>
      <c r="H71" s="49">
        <f t="shared" si="13"/>
        <v>8819</v>
      </c>
      <c r="I71" s="28">
        <f>IF(H71&gt;0,LOOKUP(H71,Declarations!$D$2:$D$290,Declarations!$F$2:$F$290),"")</f>
        <v>0</v>
      </c>
      <c r="J71" s="22">
        <v>88</v>
      </c>
      <c r="K71" s="28" t="str">
        <f>IF(J71&gt;0,LOOKUP(J71,Constants!$L$2:$L$18,Constants!$M$2:$M$18),"")</f>
        <v>City of Stoke AC</v>
      </c>
    </row>
    <row r="72" ht="14.25">
      <c r="D72" s="22"/>
    </row>
    <row r="73" spans="1:11" s="64" customFormat="1" ht="18">
      <c r="A73" s="89" t="s">
        <v>70</v>
      </c>
      <c r="B73" s="89"/>
      <c r="C73" s="89"/>
      <c r="D73" s="89"/>
      <c r="E73" s="89"/>
      <c r="G73" s="89" t="s">
        <v>71</v>
      </c>
      <c r="H73" s="89"/>
      <c r="I73" s="89"/>
      <c r="J73" s="89"/>
      <c r="K73" s="89"/>
    </row>
    <row r="74" spans="1:8" ht="14.25">
      <c r="A74" s="47"/>
      <c r="B74" s="47"/>
      <c r="G74" s="47"/>
      <c r="H74" s="47"/>
    </row>
    <row r="75" spans="1:10" ht="14.25">
      <c r="A75" s="47" t="s">
        <v>87</v>
      </c>
      <c r="B75" s="47"/>
      <c r="D75" s="58"/>
      <c r="G75" s="47" t="s">
        <v>87</v>
      </c>
      <c r="H75" s="47"/>
      <c r="J75" s="58"/>
    </row>
    <row r="76" spans="1:11" ht="14.25">
      <c r="A76" s="49">
        <v>1</v>
      </c>
      <c r="B76" s="49">
        <f>IF(D76&gt;0,D76*100+21,0)</f>
        <v>521</v>
      </c>
      <c r="C76" s="28">
        <f>IF(B76&gt;0,LOOKUP(B76,Declarations!$D$2:$D$290,Declarations!$F$2:$F$290),"")</f>
        <v>0</v>
      </c>
      <c r="D76" s="22">
        <v>5</v>
      </c>
      <c r="E76" s="28" t="str">
        <f>IF(D76&gt;0,LOOKUP(D76,Constants!$L$2:$L$18,Constants!$M$2:$M$18),"")</f>
        <v>Nuneaton Harriers</v>
      </c>
      <c r="G76" s="49">
        <v>1</v>
      </c>
      <c r="H76" s="49">
        <f>IF(J76&gt;0,J76*100+21,0)</f>
        <v>5521</v>
      </c>
      <c r="I76" s="28">
        <f>IF(H76&gt;0,LOOKUP(H76,Declarations!$D$2:$D$290,Declarations!$F$2:$F$290),"")</f>
        <v>0</v>
      </c>
      <c r="J76" s="22">
        <v>55</v>
      </c>
      <c r="K76" s="28" t="str">
        <f>IF(J76&gt;0,LOOKUP(J76,Constants!$L$2:$L$18,Constants!$M$2:$M$18),"")</f>
        <v>Nuneaton Harriers</v>
      </c>
    </row>
    <row r="77" spans="1:11" ht="14.25">
      <c r="A77" s="49">
        <v>2</v>
      </c>
      <c r="B77" s="49">
        <f aca="true" t="shared" si="14" ref="B77:B83">IF(D77&gt;0,D77*100+21,0)</f>
        <v>621</v>
      </c>
      <c r="C77" s="28">
        <f>IF(B77&gt;0,LOOKUP(B77,Declarations!$D$2:$D$290,Declarations!$F$2:$F$290),"")</f>
        <v>0</v>
      </c>
      <c r="D77" s="22">
        <v>6</v>
      </c>
      <c r="E77" s="28" t="str">
        <f>IF(D77&gt;0,LOOKUP(D77,Constants!$L$2:$L$18,Constants!$M$2:$M$18),"")</f>
        <v>Rugby &amp; Northampton AC</v>
      </c>
      <c r="G77" s="49">
        <v>2</v>
      </c>
      <c r="H77" s="49">
        <f aca="true" t="shared" si="15" ref="H77:H83">IF(J77&gt;0,J77*100+21,0)</f>
        <v>6621</v>
      </c>
      <c r="I77" s="28">
        <f>IF(H77&gt;0,LOOKUP(H77,Declarations!$D$2:$D$290,Declarations!$F$2:$F$290),"")</f>
        <v>0</v>
      </c>
      <c r="J77" s="22">
        <v>66</v>
      </c>
      <c r="K77" s="28" t="str">
        <f>IF(J77&gt;0,LOOKUP(J77,Constants!$L$2:$L$18,Constants!$M$2:$M$18),"")</f>
        <v>Rugby &amp; Northampton AC</v>
      </c>
    </row>
    <row r="78" spans="1:11" ht="14.25">
      <c r="A78" s="49">
        <v>3</v>
      </c>
      <c r="B78" s="49">
        <f t="shared" si="14"/>
        <v>721</v>
      </c>
      <c r="C78" s="28" t="str">
        <f>IF(B78&gt;0,LOOKUP(B78,Declarations!$D$2:$D$290,Declarations!$F$2:$F$290),"")</f>
        <v>Nathan Woodward</v>
      </c>
      <c r="D78" s="22">
        <v>7</v>
      </c>
      <c r="E78" s="28" t="str">
        <f>IF(D78&gt;0,LOOKUP(D78,Constants!$L$2:$L$18,Constants!$M$2:$M$18),"")</f>
        <v>Tamworth AC</v>
      </c>
      <c r="G78" s="49">
        <v>3</v>
      </c>
      <c r="H78" s="49">
        <f t="shared" si="15"/>
        <v>7721</v>
      </c>
      <c r="I78" s="28" t="str">
        <f>IF(H78&gt;0,LOOKUP(H78,Declarations!$D$2:$D$290,Declarations!$F$2:$F$290),"")</f>
        <v>David Lines</v>
      </c>
      <c r="J78" s="22">
        <v>77</v>
      </c>
      <c r="K78" s="28" t="str">
        <f>IF(J78&gt;0,LOOKUP(J78,Constants!$L$2:$L$18,Constants!$M$2:$M$18),"")</f>
        <v>Tamworth AC</v>
      </c>
    </row>
    <row r="79" spans="1:11" ht="14.25">
      <c r="A79" s="49">
        <v>4</v>
      </c>
      <c r="B79" s="49">
        <f t="shared" si="14"/>
        <v>421</v>
      </c>
      <c r="C79" s="28">
        <f>IF(B79&gt;0,LOOKUP(B79,Declarations!$D$2:$D$290,Declarations!$F$2:$F$290),"")</f>
        <v>0</v>
      </c>
      <c r="D79" s="22">
        <v>4</v>
      </c>
      <c r="E79" s="28" t="str">
        <f>IF(D79&gt;0,LOOKUP(D79,Constants!$L$2:$L$18,Constants!$M$2:$M$18),"")</f>
        <v>Leicester Coritanian AC</v>
      </c>
      <c r="G79" s="49">
        <v>4</v>
      </c>
      <c r="H79" s="49">
        <f t="shared" si="15"/>
        <v>4421</v>
      </c>
      <c r="I79" s="28">
        <f>IF(H79&gt;0,LOOKUP(H79,Declarations!$D$2:$D$290,Declarations!$F$2:$F$290),"")</f>
        <v>0</v>
      </c>
      <c r="J79" s="22">
        <v>44</v>
      </c>
      <c r="K79" s="28" t="str">
        <f>IF(J79&gt;0,LOOKUP(J79,Constants!$L$2:$L$18,Constants!$M$2:$M$18),"")</f>
        <v>Leicester Coritanian AC</v>
      </c>
    </row>
    <row r="80" spans="1:11" ht="14.25">
      <c r="A80" s="49">
        <v>5</v>
      </c>
      <c r="B80" s="49">
        <f t="shared" si="14"/>
        <v>221</v>
      </c>
      <c r="C80" s="28">
        <f>IF(B80&gt;0,LOOKUP(B80,Declarations!$D$2:$D$290,Declarations!$F$2:$F$290),"")</f>
        <v>0</v>
      </c>
      <c r="D80" s="22">
        <v>2</v>
      </c>
      <c r="E80" s="28" t="str">
        <f>IF(D80&gt;0,LOOKUP(D80,Constants!$L$2:$L$18,Constants!$M$2:$M$18),"")</f>
        <v>Coventry Godiva Harriers &amp; Sphinx AC</v>
      </c>
      <c r="G80" s="49">
        <v>5</v>
      </c>
      <c r="H80" s="49">
        <f t="shared" si="15"/>
        <v>2221</v>
      </c>
      <c r="I80" s="28">
        <f>IF(H80&gt;0,LOOKUP(H80,Declarations!$D$2:$D$290,Declarations!$F$2:$F$290),"")</f>
        <v>0</v>
      </c>
      <c r="J80" s="22">
        <v>22</v>
      </c>
      <c r="K80" s="28" t="str">
        <f>IF(J80&gt;0,LOOKUP(J80,Constants!$L$2:$L$18,Constants!$M$2:$M$18),"")</f>
        <v>Coventry Godiva Harriers &amp; Sphinx AC</v>
      </c>
    </row>
    <row r="81" spans="1:11" ht="14.25">
      <c r="A81" s="49">
        <v>6</v>
      </c>
      <c r="B81" s="49">
        <f t="shared" si="14"/>
        <v>121</v>
      </c>
      <c r="C81" s="28">
        <f>IF(B81&gt;0,LOOKUP(B81,Declarations!$D$2:$D$290,Declarations!$F$2:$F$290),"")</f>
        <v>0</v>
      </c>
      <c r="D81" s="22">
        <v>1</v>
      </c>
      <c r="E81" s="28" t="str">
        <f>IF(D81&gt;0,LOOKUP(D81,Constants!$L$2:$L$18,Constants!$M$2:$M$18),"")</f>
        <v>Cannock &amp; Staffs AC</v>
      </c>
      <c r="G81" s="49">
        <v>6</v>
      </c>
      <c r="H81" s="49">
        <f t="shared" si="15"/>
        <v>1121</v>
      </c>
      <c r="I81" s="28">
        <f>IF(H81&gt;0,LOOKUP(H81,Declarations!$D$2:$D$290,Declarations!$F$2:$F$290),"")</f>
        <v>0</v>
      </c>
      <c r="J81" s="22">
        <v>11</v>
      </c>
      <c r="K81" s="28" t="str">
        <f>IF(J81&gt;0,LOOKUP(J81,Constants!$L$2:$L$18,Constants!$M$2:$M$18),"")</f>
        <v>Cannock &amp; Staffs AC</v>
      </c>
    </row>
    <row r="82" spans="1:11" ht="14.25">
      <c r="A82" s="49">
        <v>7</v>
      </c>
      <c r="B82" s="49">
        <f t="shared" si="14"/>
        <v>321</v>
      </c>
      <c r="C82" s="28" t="str">
        <f>IF(B82&gt;0,LOOKUP(B82,Declarations!$D$2:$D$290,Declarations!$F$2:$F$290),"")</f>
        <v>Duncan Hawksworth</v>
      </c>
      <c r="D82" s="22">
        <v>3</v>
      </c>
      <c r="E82" s="28" t="str">
        <f>IF(D82&gt;0,LOOKUP(D82,Constants!$L$2:$L$18,Constants!$M$2:$M$18),"")</f>
        <v>Derby AC</v>
      </c>
      <c r="G82" s="49">
        <v>7</v>
      </c>
      <c r="H82" s="49">
        <f t="shared" si="15"/>
        <v>3321</v>
      </c>
      <c r="I82" s="28">
        <f>IF(H82&gt;0,LOOKUP(H82,Declarations!$D$2:$D$290,Declarations!$F$2:$F$290),"")</f>
        <v>0</v>
      </c>
      <c r="J82" s="22">
        <v>33</v>
      </c>
      <c r="K82" s="28" t="str">
        <f>IF(J82&gt;0,LOOKUP(J82,Constants!$L$2:$L$18,Constants!$M$2:$M$18),"")</f>
        <v>Derby AC</v>
      </c>
    </row>
    <row r="83" spans="1:11" ht="14.25">
      <c r="A83" s="49">
        <v>8</v>
      </c>
      <c r="B83" s="49">
        <f t="shared" si="14"/>
        <v>821</v>
      </c>
      <c r="C83" s="28">
        <f>IF(B83&gt;0,LOOKUP(B83,Declarations!$D$2:$D$290,Declarations!$F$2:$F$290),"")</f>
        <v>0</v>
      </c>
      <c r="D83" s="22">
        <v>8</v>
      </c>
      <c r="E83" s="28" t="str">
        <f>IF(D83&gt;0,LOOKUP(D83,Constants!$L$2:$L$18,Constants!$M$2:$M$18),"")</f>
        <v>City of Stoke AC</v>
      </c>
      <c r="G83" s="49">
        <v>8</v>
      </c>
      <c r="H83" s="49">
        <f t="shared" si="15"/>
        <v>8821</v>
      </c>
      <c r="I83" s="28">
        <f>IF(H83&gt;0,LOOKUP(H83,Declarations!$D$2:$D$290,Declarations!$F$2:$F$290),"")</f>
        <v>0</v>
      </c>
      <c r="J83" s="22">
        <v>88</v>
      </c>
      <c r="K83" s="28" t="str">
        <f>IF(J83&gt;0,LOOKUP(J83,Constants!$L$2:$L$18,Constants!$M$2:$M$18),"")</f>
        <v>City of Stoke AC</v>
      </c>
    </row>
    <row r="85" spans="1:10" ht="14.25">
      <c r="A85" s="47" t="s">
        <v>24</v>
      </c>
      <c r="B85" s="47"/>
      <c r="D85" s="58"/>
      <c r="G85" s="47" t="s">
        <v>24</v>
      </c>
      <c r="H85" s="47"/>
      <c r="J85" s="58"/>
    </row>
    <row r="86" spans="1:11" ht="14.25">
      <c r="A86" s="49">
        <v>1</v>
      </c>
      <c r="B86" s="49">
        <f>IF(D86&gt;0,D86*100+24,0)</f>
        <v>424</v>
      </c>
      <c r="C86" s="28">
        <f>IF(B86&gt;0,LOOKUP(B86,Declarations!$D$2:$D$290,Declarations!$F$2:$F$290),"")</f>
        <v>0</v>
      </c>
      <c r="D86" s="22">
        <v>4</v>
      </c>
      <c r="E86" s="28" t="str">
        <f>IF(D86&gt;0,LOOKUP(D86,Constants!$L$2:$L$18,Constants!$M$2:$M$18),"")</f>
        <v>Leicester Coritanian AC</v>
      </c>
      <c r="G86" s="49">
        <v>1</v>
      </c>
      <c r="H86" s="49">
        <f>IF(J86&gt;0,J86*100+24,0)</f>
        <v>4424</v>
      </c>
      <c r="I86" s="28">
        <f>IF(H86&gt;0,LOOKUP(H86,Declarations!$D$2:$D$290,Declarations!$F$2:$F$290),"")</f>
        <v>0</v>
      </c>
      <c r="J86" s="22">
        <v>44</v>
      </c>
      <c r="K86" s="28" t="str">
        <f>IF(J86&gt;0,LOOKUP(J86,Constants!$L$2:$L$18,Constants!$M$2:$M$18),"")</f>
        <v>Leicester Coritanian AC</v>
      </c>
    </row>
    <row r="87" spans="1:11" ht="14.25">
      <c r="A87" s="49">
        <v>2</v>
      </c>
      <c r="B87" s="49">
        <f aca="true" t="shared" si="16" ref="B87:B93">IF(D87&gt;0,D87*100+24,0)</f>
        <v>324</v>
      </c>
      <c r="C87" s="28" t="str">
        <f>IF(B87&gt;0,LOOKUP(B87,Declarations!$D$2:$D$290,Declarations!$F$2:$F$290),"")</f>
        <v>Chris Davison</v>
      </c>
      <c r="D87" s="22">
        <v>3</v>
      </c>
      <c r="E87" s="28" t="str">
        <f>IF(D87&gt;0,LOOKUP(D87,Constants!$L$2:$L$18,Constants!$M$2:$M$18),"")</f>
        <v>Derby AC</v>
      </c>
      <c r="G87" s="49">
        <v>2</v>
      </c>
      <c r="H87" s="49">
        <f aca="true" t="shared" si="17" ref="H87:H93">IF(J87&gt;0,J87*100+24,0)</f>
        <v>3324</v>
      </c>
      <c r="I87" s="28">
        <f>IF(H87&gt;0,LOOKUP(H87,Declarations!$D$2:$D$290,Declarations!$F$2:$F$290),"")</f>
        <v>0</v>
      </c>
      <c r="J87" s="22">
        <v>33</v>
      </c>
      <c r="K87" s="28" t="str">
        <f>IF(J87&gt;0,LOOKUP(J87,Constants!$L$2:$L$18,Constants!$M$2:$M$18),"")</f>
        <v>Derby AC</v>
      </c>
    </row>
    <row r="88" spans="1:11" ht="14.25">
      <c r="A88" s="49">
        <v>3</v>
      </c>
      <c r="B88" s="49">
        <f t="shared" si="16"/>
        <v>224</v>
      </c>
      <c r="C88" s="28" t="str">
        <f>IF(B88&gt;0,LOOKUP(B88,Declarations!$D$2:$D$290,Declarations!$F$2:$F$290),"")</f>
        <v>George Hill</v>
      </c>
      <c r="D88" s="22">
        <v>2</v>
      </c>
      <c r="E88" s="28" t="str">
        <f>IF(D88&gt;0,LOOKUP(D88,Constants!$L$2:$L$18,Constants!$M$2:$M$18),"")</f>
        <v>Coventry Godiva Harriers &amp; Sphinx AC</v>
      </c>
      <c r="G88" s="49">
        <v>3</v>
      </c>
      <c r="H88" s="49">
        <f t="shared" si="17"/>
        <v>2224</v>
      </c>
      <c r="I88" s="28">
        <f>IF(H88&gt;0,LOOKUP(H88,Declarations!$D$2:$D$290,Declarations!$F$2:$F$290),"")</f>
        <v>0</v>
      </c>
      <c r="J88" s="22">
        <v>22</v>
      </c>
      <c r="K88" s="28" t="str">
        <f>IF(J88&gt;0,LOOKUP(J88,Constants!$L$2:$L$18,Constants!$M$2:$M$18),"")</f>
        <v>Coventry Godiva Harriers &amp; Sphinx AC</v>
      </c>
    </row>
    <row r="89" spans="1:11" ht="14.25">
      <c r="A89" s="49">
        <v>4</v>
      </c>
      <c r="B89" s="49">
        <f t="shared" si="16"/>
        <v>124</v>
      </c>
      <c r="C89" s="28">
        <f>IF(B89&gt;0,LOOKUP(B89,Declarations!$D$2:$D$290,Declarations!$F$2:$F$290),"")</f>
        <v>0</v>
      </c>
      <c r="D89" s="22">
        <v>1</v>
      </c>
      <c r="E89" s="28" t="str">
        <f>IF(D89&gt;0,LOOKUP(D89,Constants!$L$2:$L$18,Constants!$M$2:$M$18),"")</f>
        <v>Cannock &amp; Staffs AC</v>
      </c>
      <c r="G89" s="49">
        <v>4</v>
      </c>
      <c r="H89" s="49">
        <f t="shared" si="17"/>
        <v>1124</v>
      </c>
      <c r="I89" s="28">
        <f>IF(H89&gt;0,LOOKUP(H89,Declarations!$D$2:$D$290,Declarations!$F$2:$F$290),"")</f>
        <v>0</v>
      </c>
      <c r="J89" s="22">
        <v>11</v>
      </c>
      <c r="K89" s="28" t="str">
        <f>IF(J89&gt;0,LOOKUP(J89,Constants!$L$2:$L$18,Constants!$M$2:$M$18),"")</f>
        <v>Cannock &amp; Staffs AC</v>
      </c>
    </row>
    <row r="90" spans="1:11" ht="14.25">
      <c r="A90" s="49">
        <v>5</v>
      </c>
      <c r="B90" s="49">
        <f t="shared" si="16"/>
        <v>824</v>
      </c>
      <c r="C90" s="28">
        <f>IF(B90&gt;0,LOOKUP(B90,Declarations!$D$2:$D$290,Declarations!$F$2:$F$290),"")</f>
        <v>0</v>
      </c>
      <c r="D90" s="22">
        <v>8</v>
      </c>
      <c r="E90" s="28" t="str">
        <f>IF(D90&gt;0,LOOKUP(D90,Constants!$L$2:$L$18,Constants!$M$2:$M$18),"")</f>
        <v>City of Stoke AC</v>
      </c>
      <c r="G90" s="49">
        <v>5</v>
      </c>
      <c r="H90" s="49">
        <f t="shared" si="17"/>
        <v>8824</v>
      </c>
      <c r="I90" s="28">
        <f>IF(H90&gt;0,LOOKUP(H90,Declarations!$D$2:$D$290,Declarations!$F$2:$F$290),"")</f>
        <v>0</v>
      </c>
      <c r="J90" s="22">
        <v>88</v>
      </c>
      <c r="K90" s="28" t="str">
        <f>IF(J90&gt;0,LOOKUP(J90,Constants!$L$2:$L$18,Constants!$M$2:$M$18),"")</f>
        <v>City of Stoke AC</v>
      </c>
    </row>
    <row r="91" spans="1:11" ht="14.25">
      <c r="A91" s="49">
        <v>6</v>
      </c>
      <c r="B91" s="49">
        <f t="shared" si="16"/>
        <v>724</v>
      </c>
      <c r="C91" s="28" t="str">
        <f>IF(B91&gt;0,LOOKUP(B91,Declarations!$D$2:$D$290,Declarations!$F$2:$F$290),"")</f>
        <v>Nathan Woodward</v>
      </c>
      <c r="D91" s="22">
        <v>7</v>
      </c>
      <c r="E91" s="28" t="str">
        <f>IF(D91&gt;0,LOOKUP(D91,Constants!$L$2:$L$18,Constants!$M$2:$M$18),"")</f>
        <v>Tamworth AC</v>
      </c>
      <c r="G91" s="49">
        <v>6</v>
      </c>
      <c r="H91" s="49">
        <f t="shared" si="17"/>
        <v>7724</v>
      </c>
      <c r="I91" s="28" t="str">
        <f>IF(H91&gt;0,LOOKUP(H91,Declarations!$D$2:$D$290,Declarations!$F$2:$F$290),"")</f>
        <v>David Lines</v>
      </c>
      <c r="J91" s="22">
        <v>77</v>
      </c>
      <c r="K91" s="28" t="str">
        <f>IF(J91&gt;0,LOOKUP(J91,Constants!$L$2:$L$18,Constants!$M$2:$M$18),"")</f>
        <v>Tamworth AC</v>
      </c>
    </row>
    <row r="92" spans="1:11" ht="14.25">
      <c r="A92" s="49">
        <v>7</v>
      </c>
      <c r="B92" s="49">
        <f t="shared" si="16"/>
        <v>624</v>
      </c>
      <c r="C92" s="28">
        <f>IF(B92&gt;0,LOOKUP(B92,Declarations!$D$2:$D$290,Declarations!$F$2:$F$290),"")</f>
        <v>0</v>
      </c>
      <c r="D92" s="22">
        <v>6</v>
      </c>
      <c r="E92" s="28" t="str">
        <f>IF(D92&gt;0,LOOKUP(D92,Constants!$L$2:$L$18,Constants!$M$2:$M$18),"")</f>
        <v>Rugby &amp; Northampton AC</v>
      </c>
      <c r="G92" s="49">
        <v>7</v>
      </c>
      <c r="H92" s="49">
        <f t="shared" si="17"/>
        <v>6624</v>
      </c>
      <c r="I92" s="28">
        <f>IF(H92&gt;0,LOOKUP(H92,Declarations!$D$2:$D$290,Declarations!$F$2:$F$290),"")</f>
        <v>0</v>
      </c>
      <c r="J92" s="22">
        <v>66</v>
      </c>
      <c r="K92" s="28" t="str">
        <f>IF(J92&gt;0,LOOKUP(J92,Constants!$L$2:$L$18,Constants!$M$2:$M$18),"")</f>
        <v>Rugby &amp; Northampton AC</v>
      </c>
    </row>
    <row r="93" spans="1:11" ht="14.25">
      <c r="A93" s="49">
        <v>8</v>
      </c>
      <c r="B93" s="49">
        <f t="shared" si="16"/>
        <v>524</v>
      </c>
      <c r="C93" s="28">
        <f>IF(B93&gt;0,LOOKUP(B93,Declarations!$D$2:$D$290,Declarations!$F$2:$F$290),"")</f>
        <v>0</v>
      </c>
      <c r="D93" s="22">
        <v>5</v>
      </c>
      <c r="E93" s="28" t="str">
        <f>IF(D93&gt;0,LOOKUP(D93,Constants!$L$2:$L$18,Constants!$M$2:$M$18),"")</f>
        <v>Nuneaton Harriers</v>
      </c>
      <c r="G93" s="49">
        <v>8</v>
      </c>
      <c r="H93" s="49">
        <f t="shared" si="17"/>
        <v>5524</v>
      </c>
      <c r="I93" s="28">
        <f>IF(H93&gt;0,LOOKUP(H93,Declarations!$D$2:$D$290,Declarations!$F$2:$F$290),"")</f>
        <v>0</v>
      </c>
      <c r="J93" s="22">
        <v>55</v>
      </c>
      <c r="K93" s="28" t="str">
        <f>IF(J93&gt;0,LOOKUP(J93,Constants!$L$2:$L$18,Constants!$M$2:$M$18),"")</f>
        <v>Nuneaton Harriers</v>
      </c>
    </row>
    <row r="95" spans="1:8" ht="14.25">
      <c r="A95" s="47" t="s">
        <v>39</v>
      </c>
      <c r="B95" s="47"/>
      <c r="G95" s="47" t="s">
        <v>39</v>
      </c>
      <c r="H95" s="47"/>
    </row>
    <row r="96" spans="1:11" ht="14.25">
      <c r="A96" s="49">
        <v>1</v>
      </c>
      <c r="B96" s="49">
        <f>IF(D96&gt;0,D96*100+31,0)</f>
        <v>231</v>
      </c>
      <c r="C96" s="28" t="str">
        <f>IF(B96&gt;0,LOOKUP(B96,Declarations!$D$2:$D$290,Declarations!$F$2:$F$290),"")</f>
        <v>Jamie Blundell</v>
      </c>
      <c r="D96" s="22">
        <v>2</v>
      </c>
      <c r="E96" s="28" t="str">
        <f>IF(D96&gt;0,LOOKUP(D96,Constants!$L$2:$L$18,Constants!$M$2:$M$18),"")</f>
        <v>Coventry Godiva Harriers &amp; Sphinx AC</v>
      </c>
      <c r="G96" s="49">
        <v>1</v>
      </c>
      <c r="H96" s="49">
        <f>IF(J96&gt;0,J96*100+31,0)</f>
        <v>2231</v>
      </c>
      <c r="I96" s="28">
        <f>IF(H96&gt;0,LOOKUP(H96,Declarations!$D$2:$D$290,Declarations!$F$2:$F$290),"")</f>
        <v>0</v>
      </c>
      <c r="J96" s="22">
        <v>22</v>
      </c>
      <c r="K96" s="28" t="str">
        <f>IF(J96&gt;0,LOOKUP(J96,Constants!$L$2:$L$18,Constants!$M$2:$M$18),"")</f>
        <v>Coventry Godiva Harriers &amp; Sphinx AC</v>
      </c>
    </row>
    <row r="97" spans="1:11" ht="14.25">
      <c r="A97" s="49">
        <v>2</v>
      </c>
      <c r="B97" s="49">
        <f aca="true" t="shared" si="18" ref="B97:B103">IF(D97&gt;0,D97*100+31,0)</f>
        <v>531</v>
      </c>
      <c r="C97" s="28" t="str">
        <f>IF(B97&gt;0,LOOKUP(B97,Declarations!$D$2:$D$290,Declarations!$F$2:$F$290),"")</f>
        <v>Andy Colman</v>
      </c>
      <c r="D97" s="22">
        <v>5</v>
      </c>
      <c r="E97" s="28" t="str">
        <f>IF(D97&gt;0,LOOKUP(D97,Constants!$L$2:$L$18,Constants!$M$2:$M$18),"")</f>
        <v>Nuneaton Harriers</v>
      </c>
      <c r="G97" s="49">
        <v>2</v>
      </c>
      <c r="H97" s="49">
        <f aca="true" t="shared" si="19" ref="H97:H103">IF(J97&gt;0,J97*100+31,0)</f>
        <v>5531</v>
      </c>
      <c r="I97" s="28">
        <f>IF(H97&gt;0,LOOKUP(H97,Declarations!$D$2:$D$290,Declarations!$F$2:$F$290),"")</f>
        <v>0</v>
      </c>
      <c r="J97" s="22">
        <v>55</v>
      </c>
      <c r="K97" s="28" t="str">
        <f>IF(J97&gt;0,LOOKUP(J97,Constants!$L$2:$L$18,Constants!$M$2:$M$18),"")</f>
        <v>Nuneaton Harriers</v>
      </c>
    </row>
    <row r="98" spans="1:11" ht="14.25">
      <c r="A98" s="49">
        <v>3</v>
      </c>
      <c r="B98" s="49">
        <f t="shared" si="18"/>
        <v>831</v>
      </c>
      <c r="C98" s="28" t="str">
        <f>IF(B98&gt;0,LOOKUP(B98,Declarations!$D$2:$D$290,Declarations!$F$2:$F$290),"")</f>
        <v>Ashley Wilson</v>
      </c>
      <c r="D98" s="22">
        <v>8</v>
      </c>
      <c r="E98" s="28" t="str">
        <f>IF(D98&gt;0,LOOKUP(D98,Constants!$L$2:$L$18,Constants!$M$2:$M$18),"")</f>
        <v>City of Stoke AC</v>
      </c>
      <c r="G98" s="49">
        <v>3</v>
      </c>
      <c r="H98" s="49">
        <f t="shared" si="19"/>
        <v>8831</v>
      </c>
      <c r="I98" s="28" t="str">
        <f>IF(H98&gt;0,LOOKUP(H98,Declarations!$D$2:$D$290,Declarations!$F$2:$F$290),"")</f>
        <v>Leon Ashman</v>
      </c>
      <c r="J98" s="22">
        <v>88</v>
      </c>
      <c r="K98" s="28" t="str">
        <f>IF(J98&gt;0,LOOKUP(J98,Constants!$L$2:$L$18,Constants!$M$2:$M$18),"")</f>
        <v>City of Stoke AC</v>
      </c>
    </row>
    <row r="99" spans="1:11" ht="14.25">
      <c r="A99" s="49">
        <v>4</v>
      </c>
      <c r="B99" s="49">
        <f t="shared" si="18"/>
        <v>131</v>
      </c>
      <c r="C99" s="28" t="str">
        <f>IF(B99&gt;0,LOOKUP(B99,Declarations!$D$2:$D$290,Declarations!$F$2:$F$290),"")</f>
        <v>Alex Widgery</v>
      </c>
      <c r="D99" s="22">
        <v>1</v>
      </c>
      <c r="E99" s="28" t="str">
        <f>IF(D99&gt;0,LOOKUP(D99,Constants!$L$2:$L$18,Constants!$M$2:$M$18),"")</f>
        <v>Cannock &amp; Staffs AC</v>
      </c>
      <c r="G99" s="49">
        <v>4</v>
      </c>
      <c r="H99" s="49">
        <f t="shared" si="19"/>
        <v>1131</v>
      </c>
      <c r="I99" s="28" t="str">
        <f>IF(H99&gt;0,LOOKUP(H99,Declarations!$D$2:$D$290,Declarations!$F$2:$F$290),"")</f>
        <v>Ryan Deeley</v>
      </c>
      <c r="J99" s="22">
        <v>11</v>
      </c>
      <c r="K99" s="28" t="str">
        <f>IF(J99&gt;0,LOOKUP(J99,Constants!$L$2:$L$18,Constants!$M$2:$M$18),"")</f>
        <v>Cannock &amp; Staffs AC</v>
      </c>
    </row>
    <row r="100" spans="1:11" ht="14.25">
      <c r="A100" s="49">
        <v>5</v>
      </c>
      <c r="B100" s="49">
        <f t="shared" si="18"/>
        <v>631</v>
      </c>
      <c r="C100" s="28" t="str">
        <f>IF(B100&gt;0,LOOKUP(B100,Declarations!$D$2:$D$290,Declarations!$F$2:$F$290),"")</f>
        <v>Martin Vincent</v>
      </c>
      <c r="D100" s="22">
        <v>6</v>
      </c>
      <c r="E100" s="28" t="str">
        <f>IF(D100&gt;0,LOOKUP(D100,Constants!$L$2:$L$18,Constants!$M$2:$M$18),"")</f>
        <v>Rugby &amp; Northampton AC</v>
      </c>
      <c r="G100" s="49">
        <v>5</v>
      </c>
      <c r="H100" s="49">
        <f t="shared" si="19"/>
        <v>6631</v>
      </c>
      <c r="I100" s="28">
        <f>IF(H100&gt;0,LOOKUP(H100,Declarations!$D$2:$D$290,Declarations!$F$2:$F$290),"")</f>
        <v>0</v>
      </c>
      <c r="J100" s="22">
        <v>66</v>
      </c>
      <c r="K100" s="28" t="str">
        <f>IF(J100&gt;0,LOOKUP(J100,Constants!$L$2:$L$18,Constants!$M$2:$M$18),"")</f>
        <v>Rugby &amp; Northampton AC</v>
      </c>
    </row>
    <row r="101" spans="1:11" ht="14.25">
      <c r="A101" s="49">
        <v>6</v>
      </c>
      <c r="B101" s="49">
        <f t="shared" si="18"/>
        <v>331</v>
      </c>
      <c r="C101" s="28" t="str">
        <f>IF(B101&gt;0,LOOKUP(B101,Declarations!$D$2:$D$290,Declarations!$F$2:$F$290),"")</f>
        <v>Sam Worrall</v>
      </c>
      <c r="D101" s="22">
        <v>3</v>
      </c>
      <c r="E101" s="28" t="str">
        <f>IF(D101&gt;0,LOOKUP(D101,Constants!$L$2:$L$18,Constants!$M$2:$M$18),"")</f>
        <v>Derby AC</v>
      </c>
      <c r="G101" s="49">
        <v>6</v>
      </c>
      <c r="H101" s="49">
        <f t="shared" si="19"/>
        <v>3331</v>
      </c>
      <c r="I101" s="28" t="str">
        <f>IF(H101&gt;0,LOOKUP(H101,Declarations!$D$2:$D$290,Declarations!$F$2:$F$290),"")</f>
        <v>Nathan Roulstone</v>
      </c>
      <c r="J101" s="22">
        <v>33</v>
      </c>
      <c r="K101" s="28" t="str">
        <f>IF(J101&gt;0,LOOKUP(J101,Constants!$L$2:$L$18,Constants!$M$2:$M$18),"")</f>
        <v>Derby AC</v>
      </c>
    </row>
    <row r="102" spans="1:11" ht="14.25">
      <c r="A102" s="49">
        <v>7</v>
      </c>
      <c r="B102" s="49">
        <f t="shared" si="18"/>
        <v>731</v>
      </c>
      <c r="C102" s="28" t="str">
        <f>IF(B102&gt;0,LOOKUP(B102,Declarations!$D$2:$D$290,Declarations!$F$2:$F$290),"")</f>
        <v>Adam Smith</v>
      </c>
      <c r="D102" s="22">
        <v>7</v>
      </c>
      <c r="E102" s="28" t="str">
        <f>IF(D102&gt;0,LOOKUP(D102,Constants!$L$2:$L$18,Constants!$M$2:$M$18),"")</f>
        <v>Tamworth AC</v>
      </c>
      <c r="G102" s="49">
        <v>7</v>
      </c>
      <c r="H102" s="49">
        <f t="shared" si="19"/>
        <v>7731</v>
      </c>
      <c r="I102" s="28" t="str">
        <f>IF(H102&gt;0,LOOKUP(H102,Declarations!$D$2:$D$290,Declarations!$F$2:$F$290),"")</f>
        <v>Juan Padmore</v>
      </c>
      <c r="J102" s="22">
        <v>77</v>
      </c>
      <c r="K102" s="28" t="str">
        <f>IF(J102&gt;0,LOOKUP(J102,Constants!$L$2:$L$18,Constants!$M$2:$M$18),"")</f>
        <v>Tamworth AC</v>
      </c>
    </row>
    <row r="103" spans="1:11" ht="14.25">
      <c r="A103" s="49">
        <v>8</v>
      </c>
      <c r="B103" s="49">
        <f t="shared" si="18"/>
        <v>431</v>
      </c>
      <c r="C103" s="28" t="str">
        <f>IF(B103&gt;0,LOOKUP(B103,Declarations!$D$2:$D$290,Declarations!$F$2:$F$290),"")</f>
        <v>Sam Wren</v>
      </c>
      <c r="D103" s="22">
        <v>4</v>
      </c>
      <c r="E103" s="28" t="str">
        <f>IF(D103&gt;0,LOOKUP(D103,Constants!$L$2:$L$18,Constants!$M$2:$M$18),"")</f>
        <v>Leicester Coritanian AC</v>
      </c>
      <c r="G103" s="49">
        <v>8</v>
      </c>
      <c r="H103" s="49">
        <f t="shared" si="19"/>
        <v>4431</v>
      </c>
      <c r="I103" s="28">
        <f>IF(H103&gt;0,LOOKUP(H103,Declarations!$D$2:$D$290,Declarations!$F$2:$F$290),"")</f>
        <v>0</v>
      </c>
      <c r="J103" s="22">
        <v>44</v>
      </c>
      <c r="K103" s="28" t="str">
        <f>IF(J103&gt;0,LOOKUP(J103,Constants!$L$2:$L$18,Constants!$M$2:$M$18),"")</f>
        <v>Leicester Coritanian AC</v>
      </c>
    </row>
    <row r="105" spans="1:8" ht="14.25">
      <c r="A105" s="47" t="s">
        <v>40</v>
      </c>
      <c r="B105" s="47"/>
      <c r="G105" s="47" t="s">
        <v>40</v>
      </c>
      <c r="H105" s="47"/>
    </row>
    <row r="106" spans="1:11" ht="14.25">
      <c r="A106" s="49">
        <v>1</v>
      </c>
      <c r="B106" s="49">
        <f>IF(D106&gt;0,D106*100+32,0)</f>
        <v>432</v>
      </c>
      <c r="C106" s="28">
        <f>IF(B106&gt;0,LOOKUP(B106,Declarations!$D$2:$D$290,Declarations!$F$2:$F$290),"")</f>
        <v>0</v>
      </c>
      <c r="D106" s="22">
        <v>4</v>
      </c>
      <c r="E106" s="28" t="str">
        <f>IF(D106&gt;0,LOOKUP(D106,Constants!$L$2:$L$18,Constants!$M$2:$M$18),"")</f>
        <v>Leicester Coritanian AC</v>
      </c>
      <c r="G106" s="49">
        <v>1</v>
      </c>
      <c r="H106" s="49">
        <f>IF(J106&gt;0,J106*100+32,0)</f>
        <v>4432</v>
      </c>
      <c r="I106" s="28">
        <f>IF(H106&gt;0,LOOKUP(H106,Declarations!$D$2:$D$290,Declarations!$F$2:$F$290),"")</f>
        <v>0</v>
      </c>
      <c r="J106" s="22">
        <v>44</v>
      </c>
      <c r="K106" s="28" t="str">
        <f>IF(J106&gt;0,LOOKUP(J106,Constants!$L$2:$L$18,Constants!$M$2:$M$18),"")</f>
        <v>Leicester Coritanian AC</v>
      </c>
    </row>
    <row r="107" spans="1:11" ht="14.25">
      <c r="A107" s="49">
        <v>2</v>
      </c>
      <c r="B107" s="49">
        <f aca="true" t="shared" si="20" ref="B107:B113">IF(D107&gt;0,D107*100+32,0)</f>
        <v>332</v>
      </c>
      <c r="C107" s="28" t="str">
        <f>IF(B107&gt;0,LOOKUP(B107,Declarations!$D$2:$D$290,Declarations!$F$2:$F$290),"")</f>
        <v>Nathan Roulstone</v>
      </c>
      <c r="D107" s="22">
        <v>3</v>
      </c>
      <c r="E107" s="28" t="str">
        <f>IF(D107&gt;0,LOOKUP(D107,Constants!$L$2:$L$18,Constants!$M$2:$M$18),"")</f>
        <v>Derby AC</v>
      </c>
      <c r="G107" s="49">
        <v>2</v>
      </c>
      <c r="H107" s="49">
        <f aca="true" t="shared" si="21" ref="H107:H113">IF(J107&gt;0,J107*100+32,0)</f>
        <v>3332</v>
      </c>
      <c r="I107" s="28" t="str">
        <f>IF(H107&gt;0,LOOKUP(H107,Declarations!$D$2:$D$290,Declarations!$F$2:$F$290),"")</f>
        <v>Jason Roulstone</v>
      </c>
      <c r="J107" s="22">
        <v>33</v>
      </c>
      <c r="K107" s="28" t="str">
        <f>IF(J107&gt;0,LOOKUP(J107,Constants!$L$2:$L$18,Constants!$M$2:$M$18),"")</f>
        <v>Derby AC</v>
      </c>
    </row>
    <row r="108" spans="1:11" ht="14.25">
      <c r="A108" s="49">
        <v>3</v>
      </c>
      <c r="B108" s="49">
        <f t="shared" si="20"/>
        <v>232</v>
      </c>
      <c r="C108" s="28" t="str">
        <f>IF(B108&gt;0,LOOKUP(B108,Declarations!$D$2:$D$290,Declarations!$F$2:$F$290),"")</f>
        <v>Karl Robbins</v>
      </c>
      <c r="D108" s="22">
        <v>2</v>
      </c>
      <c r="E108" s="28" t="str">
        <f>IF(D108&gt;0,LOOKUP(D108,Constants!$L$2:$L$18,Constants!$M$2:$M$18),"")</f>
        <v>Coventry Godiva Harriers &amp; Sphinx AC</v>
      </c>
      <c r="G108" s="49">
        <v>3</v>
      </c>
      <c r="H108" s="49">
        <f t="shared" si="21"/>
        <v>2232</v>
      </c>
      <c r="I108" s="28">
        <f>IF(H108&gt;0,LOOKUP(H108,Declarations!$D$2:$D$290,Declarations!$F$2:$F$290),"")</f>
        <v>0</v>
      </c>
      <c r="J108" s="22">
        <v>22</v>
      </c>
      <c r="K108" s="28" t="str">
        <f>IF(J108&gt;0,LOOKUP(J108,Constants!$L$2:$L$18,Constants!$M$2:$M$18),"")</f>
        <v>Coventry Godiva Harriers &amp; Sphinx AC</v>
      </c>
    </row>
    <row r="109" spans="1:11" ht="14.25">
      <c r="A109" s="49">
        <v>4</v>
      </c>
      <c r="B109" s="49">
        <f t="shared" si="20"/>
        <v>132</v>
      </c>
      <c r="C109" s="28" t="str">
        <f>IF(B109&gt;0,LOOKUP(B109,Declarations!$D$2:$D$290,Declarations!$F$2:$F$290),"")</f>
        <v>Dan Nash</v>
      </c>
      <c r="D109" s="22">
        <v>1</v>
      </c>
      <c r="E109" s="28" t="str">
        <f>IF(D109&gt;0,LOOKUP(D109,Constants!$L$2:$L$18,Constants!$M$2:$M$18),"")</f>
        <v>Cannock &amp; Staffs AC</v>
      </c>
      <c r="G109" s="49">
        <v>4</v>
      </c>
      <c r="H109" s="49">
        <f t="shared" si="21"/>
        <v>1132</v>
      </c>
      <c r="I109" s="28" t="str">
        <f>IF(H109&gt;0,LOOKUP(H109,Declarations!$D$2:$D$290,Declarations!$F$2:$F$290),"")</f>
        <v>Alex Widgery</v>
      </c>
      <c r="J109" s="22">
        <v>11</v>
      </c>
      <c r="K109" s="28" t="str">
        <f>IF(J109&gt;0,LOOKUP(J109,Constants!$L$2:$L$18,Constants!$M$2:$M$18),"")</f>
        <v>Cannock &amp; Staffs AC</v>
      </c>
    </row>
    <row r="110" spans="1:11" ht="14.25">
      <c r="A110" s="49">
        <v>5</v>
      </c>
      <c r="B110" s="49">
        <f t="shared" si="20"/>
        <v>832</v>
      </c>
      <c r="C110" s="28" t="str">
        <f>IF(B110&gt;0,LOOKUP(B110,Declarations!$D$2:$D$290,Declarations!$F$2:$F$290),"")</f>
        <v>Ashley Steventon</v>
      </c>
      <c r="D110" s="22">
        <v>8</v>
      </c>
      <c r="E110" s="28" t="str">
        <f>IF(D110&gt;0,LOOKUP(D110,Constants!$L$2:$L$18,Constants!$M$2:$M$18),"")</f>
        <v>City of Stoke AC</v>
      </c>
      <c r="G110" s="49">
        <v>5</v>
      </c>
      <c r="H110" s="49">
        <f t="shared" si="21"/>
        <v>8832</v>
      </c>
      <c r="I110" s="28" t="str">
        <f>IF(H110&gt;0,LOOKUP(H110,Declarations!$D$2:$D$290,Declarations!$F$2:$F$290),"")</f>
        <v>Matt Sinclair</v>
      </c>
      <c r="J110" s="22">
        <v>88</v>
      </c>
      <c r="K110" s="28" t="str">
        <f>IF(J110&gt;0,LOOKUP(J110,Constants!$L$2:$L$18,Constants!$M$2:$M$18),"")</f>
        <v>City of Stoke AC</v>
      </c>
    </row>
    <row r="111" spans="1:11" ht="14.25">
      <c r="A111" s="49">
        <v>6</v>
      </c>
      <c r="B111" s="49">
        <f t="shared" si="20"/>
        <v>732</v>
      </c>
      <c r="C111" s="28" t="str">
        <f>IF(B111&gt;0,LOOKUP(B111,Declarations!$D$2:$D$290,Declarations!$F$2:$F$290),"")</f>
        <v>Nathan Woodward</v>
      </c>
      <c r="D111" s="22">
        <v>7</v>
      </c>
      <c r="E111" s="28" t="str">
        <f>IF(D111&gt;0,LOOKUP(D111,Constants!$L$2:$L$18,Constants!$M$2:$M$18),"")</f>
        <v>Tamworth AC</v>
      </c>
      <c r="G111" s="49">
        <v>6</v>
      </c>
      <c r="H111" s="49">
        <f t="shared" si="21"/>
        <v>7732</v>
      </c>
      <c r="I111" s="28" t="str">
        <f>IF(H111&gt;0,LOOKUP(H111,Declarations!$D$2:$D$290,Declarations!$F$2:$F$290),"")</f>
        <v>Daniel Cash</v>
      </c>
      <c r="J111" s="22">
        <v>77</v>
      </c>
      <c r="K111" s="28" t="str">
        <f>IF(J111&gt;0,LOOKUP(J111,Constants!$L$2:$L$18,Constants!$M$2:$M$18),"")</f>
        <v>Tamworth AC</v>
      </c>
    </row>
    <row r="112" spans="1:11" ht="14.25">
      <c r="A112" s="49">
        <v>7</v>
      </c>
      <c r="B112" s="49">
        <f t="shared" si="20"/>
        <v>632</v>
      </c>
      <c r="C112" s="28" t="str">
        <f>IF(B112&gt;0,LOOKUP(B112,Declarations!$D$2:$D$290,Declarations!$F$2:$F$290),"")</f>
        <v>David Tranter</v>
      </c>
      <c r="D112" s="22">
        <v>6</v>
      </c>
      <c r="E112" s="28" t="str">
        <f>IF(D112&gt;0,LOOKUP(D112,Constants!$L$2:$L$18,Constants!$M$2:$M$18),"")</f>
        <v>Rugby &amp; Northampton AC</v>
      </c>
      <c r="G112" s="49">
        <v>7</v>
      </c>
      <c r="H112" s="49">
        <f t="shared" si="21"/>
        <v>6632</v>
      </c>
      <c r="I112" s="28" t="str">
        <f>IF(H112&gt;0,LOOKUP(H112,Declarations!$D$2:$D$290,Declarations!$F$2:$F$290),"")</f>
        <v>Paul Stone</v>
      </c>
      <c r="J112" s="22">
        <v>66</v>
      </c>
      <c r="K112" s="28" t="str">
        <f>IF(J112&gt;0,LOOKUP(J112,Constants!$L$2:$L$18,Constants!$M$2:$M$18),"")</f>
        <v>Rugby &amp; Northampton AC</v>
      </c>
    </row>
    <row r="113" spans="1:11" ht="14.25">
      <c r="A113" s="49">
        <v>8</v>
      </c>
      <c r="B113" s="49">
        <f t="shared" si="20"/>
        <v>532</v>
      </c>
      <c r="C113" s="28">
        <f>IF(B113&gt;0,LOOKUP(B113,Declarations!$D$2:$D$290,Declarations!$F$2:$F$290),"")</f>
        <v>0</v>
      </c>
      <c r="D113" s="22">
        <v>5</v>
      </c>
      <c r="E113" s="28" t="str">
        <f>IF(D113&gt;0,LOOKUP(D113,Constants!$L$2:$L$18,Constants!$M$2:$M$18),"")</f>
        <v>Nuneaton Harriers</v>
      </c>
      <c r="G113" s="49">
        <v>8</v>
      </c>
      <c r="H113" s="49">
        <f t="shared" si="21"/>
        <v>5532</v>
      </c>
      <c r="I113" s="28">
        <f>IF(H113&gt;0,LOOKUP(H113,Declarations!$D$2:$D$290,Declarations!$F$2:$F$290),"")</f>
        <v>0</v>
      </c>
      <c r="J113" s="22">
        <v>55</v>
      </c>
      <c r="K113" s="28" t="str">
        <f>IF(J113&gt;0,LOOKUP(J113,Constants!$L$2:$L$18,Constants!$M$2:$M$18),"")</f>
        <v>Nuneaton Harriers</v>
      </c>
    </row>
    <row r="115" spans="1:8" ht="14.25">
      <c r="A115" s="47" t="s">
        <v>42</v>
      </c>
      <c r="B115" s="47"/>
      <c r="G115" s="47" t="s">
        <v>42</v>
      </c>
      <c r="H115" s="47"/>
    </row>
    <row r="116" spans="1:11" ht="14.25">
      <c r="A116" s="49">
        <v>1</v>
      </c>
      <c r="B116" s="49">
        <f>IF(D116&gt;0,D116*100+33,0)</f>
        <v>333</v>
      </c>
      <c r="C116" s="28">
        <f>IF(B116&gt;0,LOOKUP(B116,Declarations!$D$2:$D$290,Declarations!$F$2:$F$290),"")</f>
        <v>0</v>
      </c>
      <c r="D116" s="22">
        <v>3</v>
      </c>
      <c r="E116" s="28" t="str">
        <f>IF(D116&gt;0,LOOKUP(D116,Constants!$L$2:$L$18,Constants!$M$2:$M$18),"")</f>
        <v>Derby AC</v>
      </c>
      <c r="G116" s="49">
        <v>1</v>
      </c>
      <c r="H116" s="49">
        <f>IF(J116&gt;0,J116*100+33,0)</f>
        <v>3333</v>
      </c>
      <c r="I116" s="28">
        <f>IF(H116&gt;0,LOOKUP(H116,Declarations!$D$2:$D$290,Declarations!$F$2:$F$290),"")</f>
        <v>0</v>
      </c>
      <c r="J116" s="22">
        <v>33</v>
      </c>
      <c r="K116" s="28" t="str">
        <f>IF(J116&gt;0,LOOKUP(J116,Constants!$L$2:$L$18,Constants!$M$2:$M$18),"")</f>
        <v>Derby AC</v>
      </c>
    </row>
    <row r="117" spans="1:11" ht="14.25">
      <c r="A117" s="49">
        <v>2</v>
      </c>
      <c r="B117" s="49">
        <f aca="true" t="shared" si="22" ref="B117:B123">IF(D117&gt;0,D117*100+33,0)</f>
        <v>433</v>
      </c>
      <c r="C117" s="28">
        <f>IF(B117&gt;0,LOOKUP(B117,Declarations!$D$2:$D$290,Declarations!$F$2:$F$290),"")</f>
        <v>0</v>
      </c>
      <c r="D117" s="22">
        <v>4</v>
      </c>
      <c r="E117" s="28" t="str">
        <f>IF(D117&gt;0,LOOKUP(D117,Constants!$L$2:$L$18,Constants!$M$2:$M$18),"")</f>
        <v>Leicester Coritanian AC</v>
      </c>
      <c r="G117" s="49">
        <v>2</v>
      </c>
      <c r="H117" s="49">
        <f aca="true" t="shared" si="23" ref="H117:H123">IF(J117&gt;0,J117*100+33,0)</f>
        <v>4433</v>
      </c>
      <c r="I117" s="28">
        <f>IF(H117&gt;0,LOOKUP(H117,Declarations!$D$2:$D$290,Declarations!$F$2:$F$290),"")</f>
        <v>0</v>
      </c>
      <c r="J117" s="22">
        <v>44</v>
      </c>
      <c r="K117" s="28" t="str">
        <f>IF(J117&gt;0,LOOKUP(J117,Constants!$L$2:$L$18,Constants!$M$2:$M$18),"")</f>
        <v>Leicester Coritanian AC</v>
      </c>
    </row>
    <row r="118" spans="1:11" ht="14.25">
      <c r="A118" s="49">
        <v>3</v>
      </c>
      <c r="B118" s="49">
        <f t="shared" si="22"/>
        <v>533</v>
      </c>
      <c r="C118" s="28" t="str">
        <f>IF(B118&gt;0,LOOKUP(B118,Declarations!$D$2:$D$290,Declarations!$F$2:$F$290),"")</f>
        <v>Callum Clarke</v>
      </c>
      <c r="D118" s="22">
        <v>5</v>
      </c>
      <c r="E118" s="28" t="str">
        <f>IF(D118&gt;0,LOOKUP(D118,Constants!$L$2:$L$18,Constants!$M$2:$M$18),"")</f>
        <v>Nuneaton Harriers</v>
      </c>
      <c r="G118" s="49">
        <v>3</v>
      </c>
      <c r="H118" s="49">
        <f t="shared" si="23"/>
        <v>5533</v>
      </c>
      <c r="I118" s="28">
        <f>IF(H118&gt;0,LOOKUP(H118,Declarations!$D$2:$D$290,Declarations!$F$2:$F$290),"")</f>
        <v>0</v>
      </c>
      <c r="J118" s="22">
        <v>55</v>
      </c>
      <c r="K118" s="28" t="str">
        <f>IF(J118&gt;0,LOOKUP(J118,Constants!$L$2:$L$18,Constants!$M$2:$M$18),"")</f>
        <v>Nuneaton Harriers</v>
      </c>
    </row>
    <row r="119" spans="1:11" ht="14.25">
      <c r="A119" s="49">
        <v>4</v>
      </c>
      <c r="B119" s="49">
        <f t="shared" si="22"/>
        <v>633</v>
      </c>
      <c r="C119" s="28" t="str">
        <f>IF(B119&gt;0,LOOKUP(B119,Declarations!$D$2:$D$290,Declarations!$F$2:$F$290),"")</f>
        <v>David Tranter</v>
      </c>
      <c r="D119" s="22">
        <v>6</v>
      </c>
      <c r="E119" s="28" t="str">
        <f>IF(D119&gt;0,LOOKUP(D119,Constants!$L$2:$L$18,Constants!$M$2:$M$18),"")</f>
        <v>Rugby &amp; Northampton AC</v>
      </c>
      <c r="G119" s="49">
        <v>4</v>
      </c>
      <c r="H119" s="49">
        <f t="shared" si="23"/>
        <v>6633</v>
      </c>
      <c r="I119" s="28">
        <f>IF(H119&gt;0,LOOKUP(H119,Declarations!$D$2:$D$290,Declarations!$F$2:$F$290),"")</f>
        <v>0</v>
      </c>
      <c r="J119" s="22">
        <v>66</v>
      </c>
      <c r="K119" s="28" t="str">
        <f>IF(J119&gt;0,LOOKUP(J119,Constants!$L$2:$L$18,Constants!$M$2:$M$18),"")</f>
        <v>Rugby &amp; Northampton AC</v>
      </c>
    </row>
    <row r="120" spans="1:11" ht="14.25">
      <c r="A120" s="49">
        <v>5</v>
      </c>
      <c r="B120" s="49">
        <f t="shared" si="22"/>
        <v>233</v>
      </c>
      <c r="C120" s="28" t="str">
        <f>IF(B120&gt;0,LOOKUP(B120,Declarations!$D$2:$D$290,Declarations!$F$2:$F$290),"")</f>
        <v>Jamie Blundell</v>
      </c>
      <c r="D120" s="22">
        <v>2</v>
      </c>
      <c r="E120" s="28" t="str">
        <f>IF(D120&gt;0,LOOKUP(D120,Constants!$L$2:$L$18,Constants!$M$2:$M$18),"")</f>
        <v>Coventry Godiva Harriers &amp; Sphinx AC</v>
      </c>
      <c r="G120" s="49">
        <v>5</v>
      </c>
      <c r="H120" s="49">
        <f t="shared" si="23"/>
        <v>2233</v>
      </c>
      <c r="I120" s="28" t="str">
        <f>IF(H120&gt;0,LOOKUP(H120,Declarations!$D$2:$D$290,Declarations!$F$2:$F$290),"")</f>
        <v>Nathan Blundell</v>
      </c>
      <c r="J120" s="22">
        <v>22</v>
      </c>
      <c r="K120" s="28" t="str">
        <f>IF(J120&gt;0,LOOKUP(J120,Constants!$L$2:$L$18,Constants!$M$2:$M$18),"")</f>
        <v>Coventry Godiva Harriers &amp; Sphinx AC</v>
      </c>
    </row>
    <row r="121" spans="1:11" ht="14.25">
      <c r="A121" s="49">
        <v>6</v>
      </c>
      <c r="B121" s="49">
        <f t="shared" si="22"/>
        <v>133</v>
      </c>
      <c r="C121" s="28" t="str">
        <f>IF(B121&gt;0,LOOKUP(B121,Declarations!$D$2:$D$290,Declarations!$F$2:$F$290),"")</f>
        <v>Alex Widgery</v>
      </c>
      <c r="D121" s="22">
        <v>1</v>
      </c>
      <c r="E121" s="28" t="str">
        <f>IF(D121&gt;0,LOOKUP(D121,Constants!$L$2:$L$18,Constants!$M$2:$M$18),"")</f>
        <v>Cannock &amp; Staffs AC</v>
      </c>
      <c r="G121" s="49">
        <v>6</v>
      </c>
      <c r="H121" s="49">
        <f t="shared" si="23"/>
        <v>1133</v>
      </c>
      <c r="I121" s="28">
        <f>IF(H121&gt;0,LOOKUP(H121,Declarations!$D$2:$D$290,Declarations!$F$2:$F$290),"")</f>
        <v>0</v>
      </c>
      <c r="J121" s="22">
        <v>11</v>
      </c>
      <c r="K121" s="28" t="str">
        <f>IF(J121&gt;0,LOOKUP(J121,Constants!$L$2:$L$18,Constants!$M$2:$M$18),"")</f>
        <v>Cannock &amp; Staffs AC</v>
      </c>
    </row>
    <row r="122" spans="1:11" ht="14.25">
      <c r="A122" s="49">
        <v>7</v>
      </c>
      <c r="B122" s="49">
        <f t="shared" si="22"/>
        <v>833</v>
      </c>
      <c r="C122" s="28" t="str">
        <f>IF(B122&gt;0,LOOKUP(B122,Declarations!$D$2:$D$290,Declarations!$F$2:$F$290),"")</f>
        <v>Ashley Wilson</v>
      </c>
      <c r="D122" s="22">
        <v>8</v>
      </c>
      <c r="E122" s="28" t="str">
        <f>IF(D122&gt;0,LOOKUP(D122,Constants!$L$2:$L$18,Constants!$M$2:$M$18),"")</f>
        <v>City of Stoke AC</v>
      </c>
      <c r="G122" s="49">
        <v>7</v>
      </c>
      <c r="H122" s="49">
        <f t="shared" si="23"/>
        <v>8833</v>
      </c>
      <c r="I122" s="28" t="str">
        <f>IF(H122&gt;0,LOOKUP(H122,Declarations!$D$2:$D$290,Declarations!$F$2:$F$290),"")</f>
        <v>Ashley Steventon</v>
      </c>
      <c r="J122" s="22">
        <v>88</v>
      </c>
      <c r="K122" s="28" t="str">
        <f>IF(J122&gt;0,LOOKUP(J122,Constants!$L$2:$L$18,Constants!$M$2:$M$18),"")</f>
        <v>City of Stoke AC</v>
      </c>
    </row>
    <row r="123" spans="1:11" ht="14.25">
      <c r="A123" s="49">
        <v>8</v>
      </c>
      <c r="B123" s="49">
        <f t="shared" si="22"/>
        <v>733</v>
      </c>
      <c r="C123" s="28" t="str">
        <f>IF(B123&gt;0,LOOKUP(B123,Declarations!$D$2:$D$290,Declarations!$F$2:$F$290),"")</f>
        <v>Adam Smith</v>
      </c>
      <c r="D123" s="22">
        <v>7</v>
      </c>
      <c r="E123" s="28" t="str">
        <f>IF(D123&gt;0,LOOKUP(D123,Constants!$L$2:$L$18,Constants!$M$2:$M$18),"")</f>
        <v>Tamworth AC</v>
      </c>
      <c r="G123" s="49">
        <v>8</v>
      </c>
      <c r="H123" s="49">
        <f t="shared" si="23"/>
        <v>7733</v>
      </c>
      <c r="I123" s="28" t="str">
        <f>IF(H123&gt;0,LOOKUP(H123,Declarations!$D$2:$D$290,Declarations!$F$2:$F$290),"")</f>
        <v>Nick Crawford</v>
      </c>
      <c r="J123" s="22">
        <v>77</v>
      </c>
      <c r="K123" s="28" t="str">
        <f>IF(J123&gt;0,LOOKUP(J123,Constants!$L$2:$L$18,Constants!$M$2:$M$18),"")</f>
        <v>Tamworth AC</v>
      </c>
    </row>
    <row r="125" spans="1:8" ht="14.25">
      <c r="A125" s="47" t="s">
        <v>41</v>
      </c>
      <c r="B125" s="47"/>
      <c r="G125" s="47" t="s">
        <v>41</v>
      </c>
      <c r="H125" s="47"/>
    </row>
    <row r="126" spans="1:11" ht="14.25">
      <c r="A126" s="49">
        <v>1</v>
      </c>
      <c r="B126" s="49">
        <f>IF(D126&gt;0,D126*100+34,0)</f>
        <v>334</v>
      </c>
      <c r="C126" s="28" t="str">
        <f>IF(B126&gt;0,LOOKUP(B126,Declarations!$D$2:$D$290,Declarations!$F$2:$F$290),"")</f>
        <v>Sam Worrall</v>
      </c>
      <c r="D126" s="22">
        <v>3</v>
      </c>
      <c r="E126" s="28" t="str">
        <f>IF(D126&gt;0,LOOKUP(D126,Constants!$L$2:$L$18,Constants!$M$2:$M$18),"")</f>
        <v>Derby AC</v>
      </c>
      <c r="G126" s="49">
        <v>1</v>
      </c>
      <c r="H126" s="49">
        <f>IF(J126&gt;0,J126*100+34,0)</f>
        <v>3334</v>
      </c>
      <c r="I126" s="28" t="str">
        <f>IF(H126&gt;0,LOOKUP(H126,Declarations!$D$2:$D$290,Declarations!$F$2:$F$290),"")</f>
        <v>Tom Lawrence</v>
      </c>
      <c r="J126" s="22">
        <v>33</v>
      </c>
      <c r="K126" s="28" t="str">
        <f>IF(J126&gt;0,LOOKUP(J126,Constants!$L$2:$L$18,Constants!$M$2:$M$18),"")</f>
        <v>Derby AC</v>
      </c>
    </row>
    <row r="127" spans="1:11" ht="14.25">
      <c r="A127" s="49">
        <v>2</v>
      </c>
      <c r="B127" s="49">
        <f aca="true" t="shared" si="24" ref="B127:B133">IF(D127&gt;0,D127*100+34,0)</f>
        <v>434</v>
      </c>
      <c r="C127" s="28">
        <f>IF(B127&gt;0,LOOKUP(B127,Declarations!$D$2:$D$290,Declarations!$F$2:$F$290),"")</f>
        <v>0</v>
      </c>
      <c r="D127" s="22">
        <v>4</v>
      </c>
      <c r="E127" s="28" t="str">
        <f>IF(D127&gt;0,LOOKUP(D127,Constants!$L$2:$L$18,Constants!$M$2:$M$18),"")</f>
        <v>Leicester Coritanian AC</v>
      </c>
      <c r="G127" s="49">
        <v>2</v>
      </c>
      <c r="H127" s="49">
        <f aca="true" t="shared" si="25" ref="H127:H133">IF(J127&gt;0,J127*100+34,0)</f>
        <v>4434</v>
      </c>
      <c r="I127" s="28">
        <f>IF(H127&gt;0,LOOKUP(H127,Declarations!$D$2:$D$290,Declarations!$F$2:$F$290),"")</f>
        <v>0</v>
      </c>
      <c r="J127" s="22">
        <v>44</v>
      </c>
      <c r="K127" s="28" t="str">
        <f>IF(J127&gt;0,LOOKUP(J127,Constants!$L$2:$L$18,Constants!$M$2:$M$18),"")</f>
        <v>Leicester Coritanian AC</v>
      </c>
    </row>
    <row r="128" spans="1:11" ht="14.25">
      <c r="A128" s="49">
        <v>3</v>
      </c>
      <c r="B128" s="49">
        <f t="shared" si="24"/>
        <v>534</v>
      </c>
      <c r="C128" s="28">
        <f>IF(B128&gt;0,LOOKUP(B128,Declarations!$D$2:$D$290,Declarations!$F$2:$F$290),"")</f>
        <v>0</v>
      </c>
      <c r="D128" s="22">
        <v>5</v>
      </c>
      <c r="E128" s="28" t="str">
        <f>IF(D128&gt;0,LOOKUP(D128,Constants!$L$2:$L$18,Constants!$M$2:$M$18),"")</f>
        <v>Nuneaton Harriers</v>
      </c>
      <c r="G128" s="49">
        <v>3</v>
      </c>
      <c r="H128" s="49">
        <f t="shared" si="25"/>
        <v>5534</v>
      </c>
      <c r="I128" s="28">
        <f>IF(H128&gt;0,LOOKUP(H128,Declarations!$D$2:$D$290,Declarations!$F$2:$F$290),"")</f>
        <v>0</v>
      </c>
      <c r="J128" s="22">
        <v>55</v>
      </c>
      <c r="K128" s="28" t="str">
        <f>IF(J128&gt;0,LOOKUP(J128,Constants!$L$2:$L$18,Constants!$M$2:$M$18),"")</f>
        <v>Nuneaton Harriers</v>
      </c>
    </row>
    <row r="129" spans="1:11" ht="14.25">
      <c r="A129" s="49">
        <v>4</v>
      </c>
      <c r="B129" s="49">
        <f t="shared" si="24"/>
        <v>634</v>
      </c>
      <c r="C129" s="28" t="str">
        <f>IF(B129&gt;0,LOOKUP(B129,Declarations!$D$2:$D$290,Declarations!$F$2:$F$290),"")</f>
        <v>Martin Vincent</v>
      </c>
      <c r="D129" s="22">
        <v>6</v>
      </c>
      <c r="E129" s="28" t="str">
        <f>IF(D129&gt;0,LOOKUP(D129,Constants!$L$2:$L$18,Constants!$M$2:$M$18),"")</f>
        <v>Rugby &amp; Northampton AC</v>
      </c>
      <c r="G129" s="49">
        <v>4</v>
      </c>
      <c r="H129" s="49">
        <f t="shared" si="25"/>
        <v>6634</v>
      </c>
      <c r="I129" s="28" t="str">
        <f>IF(H129&gt;0,LOOKUP(H129,Declarations!$D$2:$D$290,Declarations!$F$2:$F$290),"")</f>
        <v>Paul Stone</v>
      </c>
      <c r="J129" s="22">
        <v>66</v>
      </c>
      <c r="K129" s="28" t="str">
        <f>IF(J129&gt;0,LOOKUP(J129,Constants!$L$2:$L$18,Constants!$M$2:$M$18),"")</f>
        <v>Rugby &amp; Northampton AC</v>
      </c>
    </row>
    <row r="130" spans="1:11" ht="14.25">
      <c r="A130" s="49">
        <v>5</v>
      </c>
      <c r="B130" s="49">
        <f t="shared" si="24"/>
        <v>234</v>
      </c>
      <c r="C130" s="28">
        <f>IF(B130&gt;0,LOOKUP(B130,Declarations!$D$2:$D$290,Declarations!$F$2:$F$290),"")</f>
        <v>0</v>
      </c>
      <c r="D130" s="22">
        <v>2</v>
      </c>
      <c r="E130" s="28" t="str">
        <f>IF(D130&gt;0,LOOKUP(D130,Constants!$L$2:$L$18,Constants!$M$2:$M$18),"")</f>
        <v>Coventry Godiva Harriers &amp; Sphinx AC</v>
      </c>
      <c r="G130" s="49">
        <v>5</v>
      </c>
      <c r="H130" s="49">
        <f t="shared" si="25"/>
        <v>2234</v>
      </c>
      <c r="I130" s="28">
        <f>IF(H130&gt;0,LOOKUP(H130,Declarations!$D$2:$D$290,Declarations!$F$2:$F$290),"")</f>
        <v>0</v>
      </c>
      <c r="J130" s="22">
        <v>22</v>
      </c>
      <c r="K130" s="28" t="str">
        <f>IF(J130&gt;0,LOOKUP(J130,Constants!$L$2:$L$18,Constants!$M$2:$M$18),"")</f>
        <v>Coventry Godiva Harriers &amp; Sphinx AC</v>
      </c>
    </row>
    <row r="131" spans="1:11" ht="14.25">
      <c r="A131" s="49">
        <v>6</v>
      </c>
      <c r="B131" s="49">
        <f t="shared" si="24"/>
        <v>134</v>
      </c>
      <c r="C131" s="28">
        <f>IF(B131&gt;0,LOOKUP(B131,Declarations!$D$2:$D$290,Declarations!$F$2:$F$290),"")</f>
        <v>0</v>
      </c>
      <c r="D131" s="22">
        <v>1</v>
      </c>
      <c r="E131" s="28" t="str">
        <f>IF(D131&gt;0,LOOKUP(D131,Constants!$L$2:$L$18,Constants!$M$2:$M$18),"")</f>
        <v>Cannock &amp; Staffs AC</v>
      </c>
      <c r="G131" s="49">
        <v>6</v>
      </c>
      <c r="H131" s="49">
        <f t="shared" si="25"/>
        <v>1134</v>
      </c>
      <c r="I131" s="28">
        <f>IF(H131&gt;0,LOOKUP(H131,Declarations!$D$2:$D$290,Declarations!$F$2:$F$290),"")</f>
        <v>0</v>
      </c>
      <c r="J131" s="22">
        <v>11</v>
      </c>
      <c r="K131" s="28" t="str">
        <f>IF(J131&gt;0,LOOKUP(J131,Constants!$L$2:$L$18,Constants!$M$2:$M$18),"")</f>
        <v>Cannock &amp; Staffs AC</v>
      </c>
    </row>
    <row r="132" spans="1:11" ht="14.25">
      <c r="A132" s="49">
        <v>7</v>
      </c>
      <c r="B132" s="49">
        <f t="shared" si="24"/>
        <v>834</v>
      </c>
      <c r="C132" s="28">
        <f>IF(B132&gt;0,LOOKUP(B132,Declarations!$D$2:$D$290,Declarations!$F$2:$F$290),"")</f>
        <v>0</v>
      </c>
      <c r="D132" s="22">
        <v>8</v>
      </c>
      <c r="E132" s="28" t="str">
        <f>IF(D132&gt;0,LOOKUP(D132,Constants!$L$2:$L$18,Constants!$M$2:$M$18),"")</f>
        <v>City of Stoke AC</v>
      </c>
      <c r="G132" s="49">
        <v>7</v>
      </c>
      <c r="H132" s="49">
        <f t="shared" si="25"/>
        <v>8834</v>
      </c>
      <c r="I132" s="28">
        <f>IF(H132&gt;0,LOOKUP(H132,Declarations!$D$2:$D$290,Declarations!$F$2:$F$290),"")</f>
        <v>0</v>
      </c>
      <c r="J132" s="22">
        <v>88</v>
      </c>
      <c r="K132" s="28" t="str">
        <f>IF(J132&gt;0,LOOKUP(J132,Constants!$L$2:$L$18,Constants!$M$2:$M$18),"")</f>
        <v>City of Stoke AC</v>
      </c>
    </row>
    <row r="133" spans="1:11" ht="14.25">
      <c r="A133" s="49">
        <v>8</v>
      </c>
      <c r="B133" s="49">
        <f t="shared" si="24"/>
        <v>734</v>
      </c>
      <c r="C133" s="28" t="str">
        <f>IF(B133&gt;0,LOOKUP(B133,Declarations!$D$2:$D$290,Declarations!$F$2:$F$290),"")</f>
        <v>Ashley Smetham</v>
      </c>
      <c r="D133" s="22">
        <v>7</v>
      </c>
      <c r="E133" s="28" t="str">
        <f>IF(D133&gt;0,LOOKUP(D133,Constants!$L$2:$L$18,Constants!$M$2:$M$18),"")</f>
        <v>Tamworth AC</v>
      </c>
      <c r="G133" s="49">
        <v>8</v>
      </c>
      <c r="H133" s="49">
        <f t="shared" si="25"/>
        <v>7734</v>
      </c>
      <c r="I133" s="28">
        <f>IF(H133&gt;0,LOOKUP(H133,Declarations!$D$2:$D$290,Declarations!$F$2:$F$290),"")</f>
        <v>0</v>
      </c>
      <c r="J133" s="22">
        <v>77</v>
      </c>
      <c r="K133" s="28" t="str">
        <f>IF(J133&gt;0,LOOKUP(J133,Constants!$L$2:$L$18,Constants!$M$2:$M$18),"")</f>
        <v>Tamworth AC</v>
      </c>
    </row>
    <row r="134" ht="14.25">
      <c r="D134" s="22"/>
    </row>
    <row r="135" spans="1:11" s="64" customFormat="1" ht="18">
      <c r="A135" s="89" t="s">
        <v>70</v>
      </c>
      <c r="B135" s="89"/>
      <c r="C135" s="89"/>
      <c r="D135" s="89"/>
      <c r="E135" s="89"/>
      <c r="G135" s="89" t="s">
        <v>71</v>
      </c>
      <c r="H135" s="89"/>
      <c r="I135" s="89"/>
      <c r="J135" s="89"/>
      <c r="K135" s="89"/>
    </row>
    <row r="136" spans="1:8" ht="14.25">
      <c r="A136" s="47"/>
      <c r="B136" s="47"/>
      <c r="G136" s="47"/>
      <c r="H136" s="47"/>
    </row>
    <row r="137" spans="1:8" ht="14.25">
      <c r="A137" s="47" t="s">
        <v>43</v>
      </c>
      <c r="B137" s="47"/>
      <c r="G137" s="47" t="s">
        <v>43</v>
      </c>
      <c r="H137" s="47"/>
    </row>
    <row r="138" spans="1:11" ht="14.25">
      <c r="A138" s="49">
        <v>1</v>
      </c>
      <c r="B138" s="49">
        <f>IF(D138&gt;0,D138*100+35,0)</f>
        <v>535</v>
      </c>
      <c r="C138" s="28">
        <f>IF(B138&gt;0,LOOKUP(B138,Declarations!$D$2:$D$290,Declarations!$F$2:$F$290),"")</f>
        <v>0</v>
      </c>
      <c r="D138" s="22">
        <v>5</v>
      </c>
      <c r="E138" s="28" t="str">
        <f>IF(D138&gt;0,LOOKUP(D138,Constants!$L$2:$L$18,Constants!$M$2:$M$18),"")</f>
        <v>Nuneaton Harriers</v>
      </c>
      <c r="G138" s="49">
        <v>1</v>
      </c>
      <c r="H138" s="49">
        <f>IF(J138&gt;0,J138*100+35,0)</f>
        <v>5535</v>
      </c>
      <c r="I138" s="28">
        <f>IF(H138&gt;0,LOOKUP(H138,Declarations!$D$2:$D$290,Declarations!$F$2:$F$290),"")</f>
        <v>0</v>
      </c>
      <c r="J138" s="22">
        <v>55</v>
      </c>
      <c r="K138" s="28" t="str">
        <f>IF(J138&gt;0,LOOKUP(J138,Constants!$L$2:$L$18,Constants!$M$2:$M$18),"")</f>
        <v>Nuneaton Harriers</v>
      </c>
    </row>
    <row r="139" spans="1:11" ht="14.25">
      <c r="A139" s="49">
        <v>2</v>
      </c>
      <c r="B139" s="49">
        <f aca="true" t="shared" si="26" ref="B139:B145">IF(D139&gt;0,D139*100+35,0)</f>
        <v>635</v>
      </c>
      <c r="C139" s="28" t="str">
        <f>IF(B139&gt;0,LOOKUP(B139,Declarations!$D$2:$D$290,Declarations!$F$2:$F$290),"")</f>
        <v>Luke Hyland</v>
      </c>
      <c r="D139" s="22">
        <v>6</v>
      </c>
      <c r="E139" s="28" t="str">
        <f>IF(D139&gt;0,LOOKUP(D139,Constants!$L$2:$L$18,Constants!$M$2:$M$18),"")</f>
        <v>Rugby &amp; Northampton AC</v>
      </c>
      <c r="G139" s="49">
        <v>2</v>
      </c>
      <c r="H139" s="49">
        <f aca="true" t="shared" si="27" ref="H139:H145">IF(J139&gt;0,J139*100+35,0)</f>
        <v>6635</v>
      </c>
      <c r="I139" s="28">
        <f>IF(H139&gt;0,LOOKUP(H139,Declarations!$D$2:$D$290,Declarations!$F$2:$F$290),"")</f>
        <v>0</v>
      </c>
      <c r="J139" s="22">
        <v>66</v>
      </c>
      <c r="K139" s="28" t="str">
        <f>IF(J139&gt;0,LOOKUP(J139,Constants!$L$2:$L$18,Constants!$M$2:$M$18),"")</f>
        <v>Rugby &amp; Northampton AC</v>
      </c>
    </row>
    <row r="140" spans="1:11" ht="14.25">
      <c r="A140" s="49">
        <v>3</v>
      </c>
      <c r="B140" s="49">
        <f t="shared" si="26"/>
        <v>735</v>
      </c>
      <c r="C140" s="28" t="str">
        <f>IF(B140&gt;0,LOOKUP(B140,Declarations!$D$2:$D$290,Declarations!$F$2:$F$290),"")</f>
        <v>Alex Berrow</v>
      </c>
      <c r="D140" s="22">
        <v>7</v>
      </c>
      <c r="E140" s="28" t="str">
        <f>IF(D140&gt;0,LOOKUP(D140,Constants!$L$2:$L$18,Constants!$M$2:$M$18),"")</f>
        <v>Tamworth AC</v>
      </c>
      <c r="G140" s="49">
        <v>3</v>
      </c>
      <c r="H140" s="49">
        <f t="shared" si="27"/>
        <v>7735</v>
      </c>
      <c r="I140" s="28" t="str">
        <f>IF(H140&gt;0,LOOKUP(H140,Declarations!$D$2:$D$290,Declarations!$F$2:$F$290),"")</f>
        <v>David Levett</v>
      </c>
      <c r="J140" s="22">
        <v>77</v>
      </c>
      <c r="K140" s="28" t="str">
        <f>IF(J140&gt;0,LOOKUP(J140,Constants!$L$2:$L$18,Constants!$M$2:$M$18),"")</f>
        <v>Tamworth AC</v>
      </c>
    </row>
    <row r="141" spans="1:11" ht="14.25">
      <c r="A141" s="49">
        <v>4</v>
      </c>
      <c r="B141" s="49">
        <f t="shared" si="26"/>
        <v>435</v>
      </c>
      <c r="C141" s="28">
        <f>IF(B141&gt;0,LOOKUP(B141,Declarations!$D$2:$D$290,Declarations!$F$2:$F$290),"")</f>
        <v>0</v>
      </c>
      <c r="D141" s="22">
        <v>4</v>
      </c>
      <c r="E141" s="28" t="str">
        <f>IF(D141&gt;0,LOOKUP(D141,Constants!$L$2:$L$18,Constants!$M$2:$M$18),"")</f>
        <v>Leicester Coritanian AC</v>
      </c>
      <c r="G141" s="49">
        <v>4</v>
      </c>
      <c r="H141" s="49">
        <f t="shared" si="27"/>
        <v>4435</v>
      </c>
      <c r="I141" s="28">
        <f>IF(H141&gt;0,LOOKUP(H141,Declarations!$D$2:$D$290,Declarations!$F$2:$F$290),"")</f>
        <v>0</v>
      </c>
      <c r="J141" s="22">
        <v>44</v>
      </c>
      <c r="K141" s="28" t="str">
        <f>IF(J141&gt;0,LOOKUP(J141,Constants!$L$2:$L$18,Constants!$M$2:$M$18),"")</f>
        <v>Leicester Coritanian AC</v>
      </c>
    </row>
    <row r="142" spans="1:11" ht="14.25">
      <c r="A142" s="49">
        <v>5</v>
      </c>
      <c r="B142" s="49">
        <f t="shared" si="26"/>
        <v>235</v>
      </c>
      <c r="C142" s="28">
        <f>IF(B142&gt;0,LOOKUP(B142,Declarations!$D$2:$D$290,Declarations!$F$2:$F$290),"")</f>
        <v>0</v>
      </c>
      <c r="D142" s="22">
        <v>2</v>
      </c>
      <c r="E142" s="28" t="str">
        <f>IF(D142&gt;0,LOOKUP(D142,Constants!$L$2:$L$18,Constants!$M$2:$M$18),"")</f>
        <v>Coventry Godiva Harriers &amp; Sphinx AC</v>
      </c>
      <c r="G142" s="49">
        <v>5</v>
      </c>
      <c r="H142" s="49">
        <f t="shared" si="27"/>
        <v>2235</v>
      </c>
      <c r="I142" s="28">
        <f>IF(H142&gt;0,LOOKUP(H142,Declarations!$D$2:$D$290,Declarations!$F$2:$F$290),"")</f>
        <v>0</v>
      </c>
      <c r="J142" s="22">
        <v>22</v>
      </c>
      <c r="K142" s="28" t="str">
        <f>IF(J142&gt;0,LOOKUP(J142,Constants!$L$2:$L$18,Constants!$M$2:$M$18),"")</f>
        <v>Coventry Godiva Harriers &amp; Sphinx AC</v>
      </c>
    </row>
    <row r="143" spans="1:11" ht="14.25">
      <c r="A143" s="49">
        <v>6</v>
      </c>
      <c r="B143" s="49">
        <f t="shared" si="26"/>
        <v>135</v>
      </c>
      <c r="C143" s="28" t="str">
        <f>IF(B143&gt;0,LOOKUP(B143,Declarations!$D$2:$D$290,Declarations!$F$2:$F$290),"")</f>
        <v>Richard Parker</v>
      </c>
      <c r="D143" s="22">
        <v>1</v>
      </c>
      <c r="E143" s="28" t="str">
        <f>IF(D143&gt;0,LOOKUP(D143,Constants!$L$2:$L$18,Constants!$M$2:$M$18),"")</f>
        <v>Cannock &amp; Staffs AC</v>
      </c>
      <c r="G143" s="49">
        <v>6</v>
      </c>
      <c r="H143" s="49">
        <f t="shared" si="27"/>
        <v>1135</v>
      </c>
      <c r="I143" s="28">
        <f>IF(H143&gt;0,LOOKUP(H143,Declarations!$D$2:$D$290,Declarations!$F$2:$F$290),"")</f>
        <v>0</v>
      </c>
      <c r="J143" s="22">
        <v>11</v>
      </c>
      <c r="K143" s="28" t="str">
        <f>IF(J143&gt;0,LOOKUP(J143,Constants!$L$2:$L$18,Constants!$M$2:$M$18),"")</f>
        <v>Cannock &amp; Staffs AC</v>
      </c>
    </row>
    <row r="144" spans="1:11" ht="14.25">
      <c r="A144" s="49">
        <v>7</v>
      </c>
      <c r="B144" s="49">
        <f t="shared" si="26"/>
        <v>335</v>
      </c>
      <c r="C144" s="28" t="str">
        <f>IF(B144&gt;0,LOOKUP(B144,Declarations!$D$2:$D$290,Declarations!$F$2:$F$290),"")</f>
        <v>Duncan Hawksworth</v>
      </c>
      <c r="D144" s="22">
        <v>3</v>
      </c>
      <c r="E144" s="28" t="str">
        <f>IF(D144&gt;0,LOOKUP(D144,Constants!$L$2:$L$18,Constants!$M$2:$M$18),"")</f>
        <v>Derby AC</v>
      </c>
      <c r="G144" s="49">
        <v>7</v>
      </c>
      <c r="H144" s="49">
        <f t="shared" si="27"/>
        <v>3335</v>
      </c>
      <c r="I144" s="28">
        <f>IF(H144&gt;0,LOOKUP(H144,Declarations!$D$2:$D$290,Declarations!$F$2:$F$290),"")</f>
        <v>0</v>
      </c>
      <c r="J144" s="22">
        <v>33</v>
      </c>
      <c r="K144" s="28" t="str">
        <f>IF(J144&gt;0,LOOKUP(J144,Constants!$L$2:$L$18,Constants!$M$2:$M$18),"")</f>
        <v>Derby AC</v>
      </c>
    </row>
    <row r="145" spans="1:11" ht="14.25">
      <c r="A145" s="49">
        <v>8</v>
      </c>
      <c r="B145" s="49">
        <f t="shared" si="26"/>
        <v>835</v>
      </c>
      <c r="C145" s="28" t="str">
        <f>IF(B145&gt;0,LOOKUP(B145,Declarations!$D$2:$D$290,Declarations!$F$2:$F$290),"")</f>
        <v>Tom Dohnal</v>
      </c>
      <c r="D145" s="22">
        <v>8</v>
      </c>
      <c r="E145" s="28" t="str">
        <f>IF(D145&gt;0,LOOKUP(D145,Constants!$L$2:$L$18,Constants!$M$2:$M$18),"")</f>
        <v>City of Stoke AC</v>
      </c>
      <c r="G145" s="49">
        <v>8</v>
      </c>
      <c r="H145" s="49">
        <f t="shared" si="27"/>
        <v>8835</v>
      </c>
      <c r="I145" s="28" t="str">
        <f>IF(H145&gt;0,LOOKUP(H145,Declarations!$D$2:$D$290,Declarations!$F$2:$F$290),"")</f>
        <v>Jack Bibby</v>
      </c>
      <c r="J145" s="22">
        <v>88</v>
      </c>
      <c r="K145" s="28" t="str">
        <f>IF(J145&gt;0,LOOKUP(J145,Constants!$L$2:$L$18,Constants!$M$2:$M$18),"")</f>
        <v>City of Stoke AC</v>
      </c>
    </row>
    <row r="147" spans="1:8" ht="14.25">
      <c r="A147" s="47" t="s">
        <v>47</v>
      </c>
      <c r="B147" s="47"/>
      <c r="G147" s="47" t="s">
        <v>47</v>
      </c>
      <c r="H147" s="47"/>
    </row>
    <row r="148" spans="1:11" ht="14.25">
      <c r="A148" s="49">
        <v>1</v>
      </c>
      <c r="B148" s="49">
        <f>IF(D148&gt;0,D148*100+36,0)</f>
        <v>236</v>
      </c>
      <c r="C148" s="28" t="str">
        <f>IF(B148&gt;0,LOOKUP(B148,Declarations!$D$2:$D$290,Declarations!$F$2:$F$290),"")</f>
        <v>Luke Tolly</v>
      </c>
      <c r="D148" s="22">
        <v>2</v>
      </c>
      <c r="E148" s="28" t="str">
        <f>IF(D148&gt;0,LOOKUP(D148,Constants!$L$2:$L$18,Constants!$M$2:$M$18),"")</f>
        <v>Coventry Godiva Harriers &amp; Sphinx AC</v>
      </c>
      <c r="G148" s="49">
        <v>1</v>
      </c>
      <c r="H148" s="49">
        <f>IF(J148&gt;0,J148*100+36,0)</f>
        <v>2236</v>
      </c>
      <c r="I148" s="28">
        <f>IF(H148&gt;0,LOOKUP(H148,Declarations!$D$2:$D$290,Declarations!$F$2:$F$290),"")</f>
        <v>0</v>
      </c>
      <c r="J148" s="22">
        <v>22</v>
      </c>
      <c r="K148" s="28" t="str">
        <f>IF(J148&gt;0,LOOKUP(J148,Constants!$L$2:$L$18,Constants!$M$2:$M$18),"")</f>
        <v>Coventry Godiva Harriers &amp; Sphinx AC</v>
      </c>
    </row>
    <row r="149" spans="1:11" ht="14.25">
      <c r="A149" s="49">
        <v>2</v>
      </c>
      <c r="B149" s="49">
        <f aca="true" t="shared" si="28" ref="B149:B155">IF(D149&gt;0,D149*100+36,0)</f>
        <v>336</v>
      </c>
      <c r="C149" s="28">
        <f>IF(B149&gt;0,LOOKUP(B149,Declarations!$D$2:$D$290,Declarations!$F$2:$F$290),"")</f>
        <v>0</v>
      </c>
      <c r="D149" s="22">
        <v>3</v>
      </c>
      <c r="E149" s="28" t="str">
        <f>IF(D149&gt;0,LOOKUP(D149,Constants!$L$2:$L$18,Constants!$M$2:$M$18),"")</f>
        <v>Derby AC</v>
      </c>
      <c r="G149" s="49">
        <v>2</v>
      </c>
      <c r="H149" s="49">
        <f aca="true" t="shared" si="29" ref="H149:H155">IF(J149&gt;0,J149*100+36,0)</f>
        <v>3336</v>
      </c>
      <c r="I149" s="28">
        <f>IF(H149&gt;0,LOOKUP(H149,Declarations!$D$2:$D$290,Declarations!$F$2:$F$290),"")</f>
        <v>0</v>
      </c>
      <c r="J149" s="22">
        <v>33</v>
      </c>
      <c r="K149" s="28" t="str">
        <f>IF(J149&gt;0,LOOKUP(J149,Constants!$L$2:$L$18,Constants!$M$2:$M$18),"")</f>
        <v>Derby AC</v>
      </c>
    </row>
    <row r="150" spans="1:11" ht="14.25">
      <c r="A150" s="49">
        <v>3</v>
      </c>
      <c r="B150" s="49">
        <f t="shared" si="28"/>
        <v>436</v>
      </c>
      <c r="C150" s="28">
        <f>IF(B150&gt;0,LOOKUP(B150,Declarations!$D$2:$D$290,Declarations!$F$2:$F$290),"")</f>
        <v>0</v>
      </c>
      <c r="D150" s="22">
        <v>4</v>
      </c>
      <c r="E150" s="28" t="str">
        <f>IF(D150&gt;0,LOOKUP(D150,Constants!$L$2:$L$18,Constants!$M$2:$M$18),"")</f>
        <v>Leicester Coritanian AC</v>
      </c>
      <c r="G150" s="49">
        <v>3</v>
      </c>
      <c r="H150" s="49">
        <f t="shared" si="29"/>
        <v>4436</v>
      </c>
      <c r="I150" s="28">
        <f>IF(H150&gt;0,LOOKUP(H150,Declarations!$D$2:$D$290,Declarations!$F$2:$F$290),"")</f>
        <v>0</v>
      </c>
      <c r="J150" s="22">
        <v>44</v>
      </c>
      <c r="K150" s="28" t="str">
        <f>IF(J150&gt;0,LOOKUP(J150,Constants!$L$2:$L$18,Constants!$M$2:$M$18),"")</f>
        <v>Leicester Coritanian AC</v>
      </c>
    </row>
    <row r="151" spans="1:11" ht="14.25">
      <c r="A151" s="49">
        <v>4</v>
      </c>
      <c r="B151" s="49">
        <f t="shared" si="28"/>
        <v>736</v>
      </c>
      <c r="C151" s="28" t="str">
        <f>IF(B151&gt;0,LOOKUP(B151,Declarations!$D$2:$D$290,Declarations!$F$2:$F$290),"")</f>
        <v>Alex Berrow</v>
      </c>
      <c r="D151" s="22">
        <v>7</v>
      </c>
      <c r="E151" s="28" t="str">
        <f>IF(D151&gt;0,LOOKUP(D151,Constants!$L$2:$L$18,Constants!$M$2:$M$18),"")</f>
        <v>Tamworth AC</v>
      </c>
      <c r="G151" s="49">
        <v>4</v>
      </c>
      <c r="H151" s="49">
        <f t="shared" si="29"/>
        <v>7736</v>
      </c>
      <c r="I151" s="28" t="str">
        <f>IF(H151&gt;0,LOOKUP(H151,Declarations!$D$2:$D$290,Declarations!$F$2:$F$290),"")</f>
        <v>Juan Padmore</v>
      </c>
      <c r="J151" s="22">
        <v>77</v>
      </c>
      <c r="K151" s="28" t="str">
        <f>IF(J151&gt;0,LOOKUP(J151,Constants!$L$2:$L$18,Constants!$M$2:$M$18),"")</f>
        <v>Tamworth AC</v>
      </c>
    </row>
    <row r="152" spans="1:11" ht="14.25">
      <c r="A152" s="49">
        <v>5</v>
      </c>
      <c r="B152" s="49">
        <f t="shared" si="28"/>
        <v>836</v>
      </c>
      <c r="C152" s="28" t="str">
        <f>IF(B152&gt;0,LOOKUP(B152,Declarations!$D$2:$D$290,Declarations!$F$2:$F$290),"")</f>
        <v>Elliot Price</v>
      </c>
      <c r="D152" s="22">
        <v>8</v>
      </c>
      <c r="E152" s="28" t="str">
        <f>IF(D152&gt;0,LOOKUP(D152,Constants!$L$2:$L$18,Constants!$M$2:$M$18),"")</f>
        <v>City of Stoke AC</v>
      </c>
      <c r="G152" s="49">
        <v>5</v>
      </c>
      <c r="H152" s="49">
        <f t="shared" si="29"/>
        <v>8836</v>
      </c>
      <c r="I152" s="28" t="str">
        <f>IF(H152&gt;0,LOOKUP(H152,Declarations!$D$2:$D$290,Declarations!$F$2:$F$290),"")</f>
        <v>Tom Dohnal</v>
      </c>
      <c r="J152" s="22">
        <v>88</v>
      </c>
      <c r="K152" s="28" t="str">
        <f>IF(J152&gt;0,LOOKUP(J152,Constants!$L$2:$L$18,Constants!$M$2:$M$18),"")</f>
        <v>City of Stoke AC</v>
      </c>
    </row>
    <row r="153" spans="1:11" ht="14.25">
      <c r="A153" s="49">
        <v>6</v>
      </c>
      <c r="B153" s="49">
        <f t="shared" si="28"/>
        <v>136</v>
      </c>
      <c r="C153" s="28" t="str">
        <f>IF(B153&gt;0,LOOKUP(B153,Declarations!$D$2:$D$290,Declarations!$F$2:$F$290),"")</f>
        <v>Richard Parker</v>
      </c>
      <c r="D153" s="22">
        <v>1</v>
      </c>
      <c r="E153" s="28" t="str">
        <f>IF(D153&gt;0,LOOKUP(D153,Constants!$L$2:$L$18,Constants!$M$2:$M$18),"")</f>
        <v>Cannock &amp; Staffs AC</v>
      </c>
      <c r="G153" s="49">
        <v>6</v>
      </c>
      <c r="H153" s="49">
        <f t="shared" si="29"/>
        <v>1136</v>
      </c>
      <c r="I153" s="28" t="str">
        <f>IF(H153&gt;0,LOOKUP(H153,Declarations!$D$2:$D$290,Declarations!$F$2:$F$290),"")</f>
        <v>Ryan Deeley</v>
      </c>
      <c r="J153" s="22">
        <v>11</v>
      </c>
      <c r="K153" s="28" t="str">
        <f>IF(J153&gt;0,LOOKUP(J153,Constants!$L$2:$L$18,Constants!$M$2:$M$18),"")</f>
        <v>Cannock &amp; Staffs AC</v>
      </c>
    </row>
    <row r="154" spans="1:11" ht="14.25">
      <c r="A154" s="49">
        <v>7</v>
      </c>
      <c r="B154" s="49">
        <f t="shared" si="28"/>
        <v>636</v>
      </c>
      <c r="C154" s="28" t="str">
        <f>IF(B154&gt;0,LOOKUP(B154,Declarations!$D$2:$D$290,Declarations!$F$2:$F$290),"")</f>
        <v>Paul Stone</v>
      </c>
      <c r="D154" s="22">
        <v>6</v>
      </c>
      <c r="E154" s="28" t="str">
        <f>IF(D154&gt;0,LOOKUP(D154,Constants!$L$2:$L$18,Constants!$M$2:$M$18),"")</f>
        <v>Rugby &amp; Northampton AC</v>
      </c>
      <c r="G154" s="49">
        <v>7</v>
      </c>
      <c r="H154" s="49">
        <f t="shared" si="29"/>
        <v>6636</v>
      </c>
      <c r="I154" s="28">
        <f>IF(H154&gt;0,LOOKUP(H154,Declarations!$D$2:$D$290,Declarations!$F$2:$F$290),"")</f>
        <v>0</v>
      </c>
      <c r="J154" s="22">
        <v>66</v>
      </c>
      <c r="K154" s="28" t="str">
        <f>IF(J154&gt;0,LOOKUP(J154,Constants!$L$2:$L$18,Constants!$M$2:$M$18),"")</f>
        <v>Rugby &amp; Northampton AC</v>
      </c>
    </row>
    <row r="155" spans="1:11" ht="14.25">
      <c r="A155" s="49">
        <v>8</v>
      </c>
      <c r="B155" s="49">
        <f t="shared" si="28"/>
        <v>536</v>
      </c>
      <c r="C155" s="28" t="str">
        <f>IF(B155&gt;0,LOOKUP(B155,Declarations!$D$2:$D$290,Declarations!$F$2:$F$290),"")</f>
        <v>Andy Colman</v>
      </c>
      <c r="D155" s="22">
        <v>5</v>
      </c>
      <c r="E155" s="28" t="str">
        <f>IF(D155&gt;0,LOOKUP(D155,Constants!$L$2:$L$18,Constants!$M$2:$M$18),"")</f>
        <v>Nuneaton Harriers</v>
      </c>
      <c r="G155" s="49">
        <v>8</v>
      </c>
      <c r="H155" s="49">
        <f t="shared" si="29"/>
        <v>5536</v>
      </c>
      <c r="I155" s="28">
        <f>IF(H155&gt;0,LOOKUP(H155,Declarations!$D$2:$D$290,Declarations!$F$2:$F$290),"")</f>
        <v>0</v>
      </c>
      <c r="J155" s="22">
        <v>55</v>
      </c>
      <c r="K155" s="28" t="str">
        <f>IF(J155&gt;0,LOOKUP(J155,Constants!$L$2:$L$18,Constants!$M$2:$M$18),"")</f>
        <v>Nuneaton Harriers</v>
      </c>
    </row>
    <row r="157" spans="1:8" ht="14.25">
      <c r="A157" s="47" t="s">
        <v>44</v>
      </c>
      <c r="B157" s="47"/>
      <c r="G157" s="47" t="s">
        <v>44</v>
      </c>
      <c r="H157" s="47"/>
    </row>
    <row r="158" spans="1:11" ht="14.25">
      <c r="A158" s="49">
        <v>1</v>
      </c>
      <c r="B158" s="49">
        <f>IF(D158&gt;0,D158*100+37,0)</f>
        <v>437</v>
      </c>
      <c r="C158" s="28">
        <f>IF(B158&gt;0,LOOKUP(B158,Declarations!$D$2:$D$290,Declarations!$F$2:$F$290),"")</f>
        <v>0</v>
      </c>
      <c r="D158" s="22">
        <v>4</v>
      </c>
      <c r="E158" s="28" t="str">
        <f>IF(D158&gt;0,LOOKUP(D158,Constants!$L$2:$L$18,Constants!$M$2:$M$18),"")</f>
        <v>Leicester Coritanian AC</v>
      </c>
      <c r="G158" s="49">
        <v>1</v>
      </c>
      <c r="H158" s="49">
        <f>IF(J158&gt;0,J158*100+37,0)</f>
        <v>4437</v>
      </c>
      <c r="I158" s="28">
        <f>IF(H158&gt;0,LOOKUP(H158,Declarations!$D$2:$D$290,Declarations!$F$2:$F$290),"")</f>
        <v>0</v>
      </c>
      <c r="J158" s="22">
        <v>44</v>
      </c>
      <c r="K158" s="28" t="str">
        <f>IF(J158&gt;0,LOOKUP(J158,Constants!$L$2:$L$18,Constants!$M$2:$M$18),"")</f>
        <v>Leicester Coritanian AC</v>
      </c>
    </row>
    <row r="159" spans="1:11" ht="14.25">
      <c r="A159" s="49">
        <v>2</v>
      </c>
      <c r="B159" s="49">
        <f aca="true" t="shared" si="30" ref="B159:B165">IF(D159&gt;0,D159*100+37,0)</f>
        <v>237</v>
      </c>
      <c r="C159" s="28" t="str">
        <f>IF(B159&gt;0,LOOKUP(B159,Declarations!$D$2:$D$290,Declarations!$F$2:$F$290),"")</f>
        <v>Harvey Speed</v>
      </c>
      <c r="D159" s="22">
        <v>2</v>
      </c>
      <c r="E159" s="28" t="str">
        <f>IF(D159&gt;0,LOOKUP(D159,Constants!$L$2:$L$18,Constants!$M$2:$M$18),"")</f>
        <v>Coventry Godiva Harriers &amp; Sphinx AC</v>
      </c>
      <c r="G159" s="49">
        <v>2</v>
      </c>
      <c r="H159" s="49">
        <f aca="true" t="shared" si="31" ref="H159:H165">IF(J159&gt;0,J159*100+37,0)</f>
        <v>2237</v>
      </c>
      <c r="I159" s="28">
        <f>IF(H159&gt;0,LOOKUP(H159,Declarations!$D$2:$D$290,Declarations!$F$2:$F$290),"")</f>
        <v>0</v>
      </c>
      <c r="J159" s="22">
        <v>22</v>
      </c>
      <c r="K159" s="28" t="str">
        <f>IF(J159&gt;0,LOOKUP(J159,Constants!$L$2:$L$18,Constants!$M$2:$M$18),"")</f>
        <v>Coventry Godiva Harriers &amp; Sphinx AC</v>
      </c>
    </row>
    <row r="160" spans="1:11" ht="14.25">
      <c r="A160" s="49">
        <v>3</v>
      </c>
      <c r="B160" s="49">
        <f t="shared" si="30"/>
        <v>637</v>
      </c>
      <c r="C160" s="28" t="str">
        <f>IF(B160&gt;0,LOOKUP(B160,Declarations!$D$2:$D$290,Declarations!$F$2:$F$290),"")</f>
        <v>Martin Vincent</v>
      </c>
      <c r="D160" s="22">
        <v>6</v>
      </c>
      <c r="E160" s="28" t="str">
        <f>IF(D160&gt;0,LOOKUP(D160,Constants!$L$2:$L$18,Constants!$M$2:$M$18),"")</f>
        <v>Rugby &amp; Northampton AC</v>
      </c>
      <c r="G160" s="49">
        <v>3</v>
      </c>
      <c r="H160" s="49">
        <f t="shared" si="31"/>
        <v>6637</v>
      </c>
      <c r="I160" s="28">
        <f>IF(H160&gt;0,LOOKUP(H160,Declarations!$D$2:$D$290,Declarations!$F$2:$F$290),"")</f>
        <v>0</v>
      </c>
      <c r="J160" s="22">
        <v>66</v>
      </c>
      <c r="K160" s="28" t="str">
        <f>IF(J160&gt;0,LOOKUP(J160,Constants!$L$2:$L$18,Constants!$M$2:$M$18),"")</f>
        <v>Rugby &amp; Northampton AC</v>
      </c>
    </row>
    <row r="161" spans="1:11" ht="14.25">
      <c r="A161" s="49">
        <v>4</v>
      </c>
      <c r="B161" s="49">
        <f t="shared" si="30"/>
        <v>837</v>
      </c>
      <c r="C161" s="28" t="str">
        <f>IF(B161&gt;0,LOOKUP(B161,Declarations!$D$2:$D$290,Declarations!$F$2:$F$290),"")</f>
        <v>Elliot Price</v>
      </c>
      <c r="D161" s="22">
        <v>8</v>
      </c>
      <c r="E161" s="28" t="str">
        <f>IF(D161&gt;0,LOOKUP(D161,Constants!$L$2:$L$18,Constants!$M$2:$M$18),"")</f>
        <v>City of Stoke AC</v>
      </c>
      <c r="G161" s="49">
        <v>4</v>
      </c>
      <c r="H161" s="49">
        <f t="shared" si="31"/>
        <v>8837</v>
      </c>
      <c r="I161" s="28">
        <f>IF(H161&gt;0,LOOKUP(H161,Declarations!$D$2:$D$290,Declarations!$F$2:$F$290),"")</f>
        <v>0</v>
      </c>
      <c r="J161" s="22">
        <v>88</v>
      </c>
      <c r="K161" s="28" t="str">
        <f>IF(J161&gt;0,LOOKUP(J161,Constants!$L$2:$L$18,Constants!$M$2:$M$18),"")</f>
        <v>City of Stoke AC</v>
      </c>
    </row>
    <row r="162" spans="1:11" ht="14.25">
      <c r="A162" s="49">
        <v>5</v>
      </c>
      <c r="B162" s="49">
        <f t="shared" si="30"/>
        <v>737</v>
      </c>
      <c r="C162" s="28" t="str">
        <f>IF(B162&gt;0,LOOKUP(B162,Declarations!$D$2:$D$290,Declarations!$F$2:$F$290),"")</f>
        <v>Alex Berrow</v>
      </c>
      <c r="D162" s="22">
        <v>7</v>
      </c>
      <c r="E162" s="28" t="str">
        <f>IF(D162&gt;0,LOOKUP(D162,Constants!$L$2:$L$18,Constants!$M$2:$M$18),"")</f>
        <v>Tamworth AC</v>
      </c>
      <c r="G162" s="49">
        <v>5</v>
      </c>
      <c r="H162" s="49">
        <f t="shared" si="31"/>
        <v>7737</v>
      </c>
      <c r="I162" s="28" t="str">
        <f>IF(H162&gt;0,LOOKUP(H162,Declarations!$D$2:$D$290,Declarations!$F$2:$F$290),"")</f>
        <v>David Levett</v>
      </c>
      <c r="J162" s="22">
        <v>77</v>
      </c>
      <c r="K162" s="28" t="str">
        <f>IF(J162&gt;0,LOOKUP(J162,Constants!$L$2:$L$18,Constants!$M$2:$M$18),"")</f>
        <v>Tamworth AC</v>
      </c>
    </row>
    <row r="163" spans="1:11" ht="14.25">
      <c r="A163" s="49">
        <v>6</v>
      </c>
      <c r="B163" s="49">
        <f t="shared" si="30"/>
        <v>337</v>
      </c>
      <c r="C163" s="28" t="str">
        <f>IF(B163&gt;0,LOOKUP(B163,Declarations!$D$2:$D$290,Declarations!$F$2:$F$290),"")</f>
        <v>Tom Atkinson</v>
      </c>
      <c r="D163" s="22">
        <v>3</v>
      </c>
      <c r="E163" s="28" t="str">
        <f>IF(D163&gt;0,LOOKUP(D163,Constants!$L$2:$L$18,Constants!$M$2:$M$18),"")</f>
        <v>Derby AC</v>
      </c>
      <c r="G163" s="49">
        <v>6</v>
      </c>
      <c r="H163" s="49">
        <f t="shared" si="31"/>
        <v>3337</v>
      </c>
      <c r="I163" s="28">
        <f>IF(H163&gt;0,LOOKUP(H163,Declarations!$D$2:$D$290,Declarations!$F$2:$F$290),"")</f>
        <v>0</v>
      </c>
      <c r="J163" s="22">
        <v>33</v>
      </c>
      <c r="K163" s="28" t="str">
        <f>IF(J163&gt;0,LOOKUP(J163,Constants!$L$2:$L$18,Constants!$M$2:$M$18),"")</f>
        <v>Derby AC</v>
      </c>
    </row>
    <row r="164" spans="1:11" ht="14.25">
      <c r="A164" s="49">
        <v>7</v>
      </c>
      <c r="B164" s="49">
        <f t="shared" si="30"/>
        <v>537</v>
      </c>
      <c r="C164" s="28" t="str">
        <f>IF(B164&gt;0,LOOKUP(B164,Declarations!$D$2:$D$290,Declarations!$F$2:$F$290),"")</f>
        <v>Andy Colman</v>
      </c>
      <c r="D164" s="22">
        <v>5</v>
      </c>
      <c r="E164" s="28" t="str">
        <f>IF(D164&gt;0,LOOKUP(D164,Constants!$L$2:$L$18,Constants!$M$2:$M$18),"")</f>
        <v>Nuneaton Harriers</v>
      </c>
      <c r="G164" s="49">
        <v>7</v>
      </c>
      <c r="H164" s="49">
        <f t="shared" si="31"/>
        <v>5537</v>
      </c>
      <c r="I164" s="28">
        <f>IF(H164&gt;0,LOOKUP(H164,Declarations!$D$2:$D$290,Declarations!$F$2:$F$290),"")</f>
        <v>0</v>
      </c>
      <c r="J164" s="22">
        <v>55</v>
      </c>
      <c r="K164" s="28" t="str">
        <f>IF(J164&gt;0,LOOKUP(J164,Constants!$L$2:$L$18,Constants!$M$2:$M$18),"")</f>
        <v>Nuneaton Harriers</v>
      </c>
    </row>
    <row r="165" spans="1:11" ht="14.25">
      <c r="A165" s="49">
        <v>8</v>
      </c>
      <c r="B165" s="49">
        <f t="shared" si="30"/>
        <v>137</v>
      </c>
      <c r="C165" s="28" t="str">
        <f>IF(B165&gt;0,LOOKUP(B165,Declarations!$D$2:$D$290,Declarations!$F$2:$F$290),"")</f>
        <v>Richard Parker</v>
      </c>
      <c r="D165" s="22">
        <v>1</v>
      </c>
      <c r="E165" s="28" t="str">
        <f>IF(D165&gt;0,LOOKUP(D165,Constants!$L$2:$L$18,Constants!$M$2:$M$18),"")</f>
        <v>Cannock &amp; Staffs AC</v>
      </c>
      <c r="G165" s="49">
        <v>8</v>
      </c>
      <c r="H165" s="49">
        <f t="shared" si="31"/>
        <v>1137</v>
      </c>
      <c r="I165" s="28" t="str">
        <f>IF(H165&gt;0,LOOKUP(H165,Declarations!$D$2:$D$290,Declarations!$F$2:$F$290),"")</f>
        <v>Alex Widgery</v>
      </c>
      <c r="J165" s="22">
        <v>11</v>
      </c>
      <c r="K165" s="28" t="str">
        <f>IF(J165&gt;0,LOOKUP(J165,Constants!$L$2:$L$18,Constants!$M$2:$M$18),"")</f>
        <v>Cannock &amp; Staffs AC</v>
      </c>
    </row>
    <row r="167" spans="1:8" ht="14.25">
      <c r="A167" s="47" t="s">
        <v>45</v>
      </c>
      <c r="B167" s="47"/>
      <c r="G167" s="47" t="s">
        <v>45</v>
      </c>
      <c r="H167" s="47"/>
    </row>
    <row r="168" spans="1:11" ht="14.25">
      <c r="A168" s="49">
        <v>1</v>
      </c>
      <c r="B168" s="49">
        <f>IF(D168&gt;0,D168*100+38,0)</f>
        <v>438</v>
      </c>
      <c r="C168" s="28">
        <f>IF(B168&gt;0,LOOKUP(B168,Declarations!$D$2:$D$290,Declarations!$F$2:$F$290),"")</f>
        <v>0</v>
      </c>
      <c r="D168" s="22">
        <v>4</v>
      </c>
      <c r="E168" s="28" t="str">
        <f>IF(D168&gt;0,LOOKUP(D168,Constants!$L$2:$L$18,Constants!$M$2:$M$18),"")</f>
        <v>Leicester Coritanian AC</v>
      </c>
      <c r="G168" s="49">
        <v>1</v>
      </c>
      <c r="H168" s="49">
        <f>IF(J168&gt;0,J168*100+38,0)</f>
        <v>4438</v>
      </c>
      <c r="I168" s="28">
        <f>IF(H168&gt;0,LOOKUP(H168,Declarations!$D$2:$D$290,Declarations!$F$2:$F$290),"")</f>
        <v>0</v>
      </c>
      <c r="J168" s="22">
        <v>44</v>
      </c>
      <c r="K168" s="28" t="str">
        <f>IF(J168&gt;0,LOOKUP(J168,Constants!$L$2:$L$18,Constants!$M$2:$M$18),"")</f>
        <v>Leicester Coritanian AC</v>
      </c>
    </row>
    <row r="169" spans="1:11" ht="14.25">
      <c r="A169" s="49">
        <v>2</v>
      </c>
      <c r="B169" s="49">
        <f aca="true" t="shared" si="32" ref="B169:B175">IF(D169&gt;0,D169*100+38,0)</f>
        <v>338</v>
      </c>
      <c r="C169" s="28" t="str">
        <f>IF(B169&gt;0,LOOKUP(B169,Declarations!$D$2:$D$290,Declarations!$F$2:$F$290),"")</f>
        <v>Tom Atkinson</v>
      </c>
      <c r="D169" s="22">
        <v>3</v>
      </c>
      <c r="E169" s="28" t="str">
        <f>IF(D169&gt;0,LOOKUP(D169,Constants!$L$2:$L$18,Constants!$M$2:$M$18),"")</f>
        <v>Derby AC</v>
      </c>
      <c r="G169" s="49">
        <v>2</v>
      </c>
      <c r="H169" s="49">
        <f aca="true" t="shared" si="33" ref="H169:H175">IF(J169&gt;0,J169*100+38,0)</f>
        <v>3338</v>
      </c>
      <c r="I169" s="28">
        <f>IF(H169&gt;0,LOOKUP(H169,Declarations!$D$2:$D$290,Declarations!$F$2:$F$290),"")</f>
        <v>0</v>
      </c>
      <c r="J169" s="22">
        <v>33</v>
      </c>
      <c r="K169" s="28" t="str">
        <f>IF(J169&gt;0,LOOKUP(J169,Constants!$L$2:$L$18,Constants!$M$2:$M$18),"")</f>
        <v>Derby AC</v>
      </c>
    </row>
    <row r="170" spans="1:11" ht="14.25">
      <c r="A170" s="49">
        <v>3</v>
      </c>
      <c r="B170" s="49">
        <f t="shared" si="32"/>
        <v>238</v>
      </c>
      <c r="C170" s="28" t="str">
        <f>IF(B170&gt;0,LOOKUP(B170,Declarations!$D$2:$D$290,Declarations!$F$2:$F$290),"")</f>
        <v>Luke Tolly</v>
      </c>
      <c r="D170" s="22">
        <v>2</v>
      </c>
      <c r="E170" s="28" t="str">
        <f>IF(D170&gt;0,LOOKUP(D170,Constants!$L$2:$L$18,Constants!$M$2:$M$18),"")</f>
        <v>Coventry Godiva Harriers &amp; Sphinx AC</v>
      </c>
      <c r="G170" s="49">
        <v>3</v>
      </c>
      <c r="H170" s="49">
        <f t="shared" si="33"/>
        <v>2238</v>
      </c>
      <c r="I170" s="28" t="str">
        <f>IF(H170&gt;0,LOOKUP(H170,Declarations!$D$2:$D$290,Declarations!$F$2:$F$290),"")</f>
        <v>Nathan Blundell</v>
      </c>
      <c r="J170" s="22">
        <v>22</v>
      </c>
      <c r="K170" s="28" t="str">
        <f>IF(J170&gt;0,LOOKUP(J170,Constants!$L$2:$L$18,Constants!$M$2:$M$18),"")</f>
        <v>Coventry Godiva Harriers &amp; Sphinx AC</v>
      </c>
    </row>
    <row r="171" spans="1:11" ht="14.25">
      <c r="A171" s="49">
        <v>4</v>
      </c>
      <c r="B171" s="49">
        <f t="shared" si="32"/>
        <v>138</v>
      </c>
      <c r="C171" s="28" t="str">
        <f>IF(B171&gt;0,LOOKUP(B171,Declarations!$D$2:$D$290,Declarations!$F$2:$F$290),"")</f>
        <v>Alex Widgery</v>
      </c>
      <c r="D171" s="22">
        <v>1</v>
      </c>
      <c r="E171" s="28" t="str">
        <f>IF(D171&gt;0,LOOKUP(D171,Constants!$L$2:$L$18,Constants!$M$2:$M$18),"")</f>
        <v>Cannock &amp; Staffs AC</v>
      </c>
      <c r="G171" s="49">
        <v>4</v>
      </c>
      <c r="H171" s="49">
        <f t="shared" si="33"/>
        <v>1138</v>
      </c>
      <c r="I171" s="28" t="str">
        <f>IF(H171&gt;0,LOOKUP(H171,Declarations!$D$2:$D$290,Declarations!$F$2:$F$290),"")</f>
        <v>Ryan Deeley</v>
      </c>
      <c r="J171" s="22">
        <v>11</v>
      </c>
      <c r="K171" s="28" t="str">
        <f>IF(J171&gt;0,LOOKUP(J171,Constants!$L$2:$L$18,Constants!$M$2:$M$18),"")</f>
        <v>Cannock &amp; Staffs AC</v>
      </c>
    </row>
    <row r="172" spans="1:11" ht="14.25">
      <c r="A172" s="49">
        <v>5</v>
      </c>
      <c r="B172" s="49">
        <f t="shared" si="32"/>
        <v>838</v>
      </c>
      <c r="C172" s="28" t="str">
        <f>IF(B172&gt;0,LOOKUP(B172,Declarations!$D$2:$D$290,Declarations!$F$2:$F$290),"")</f>
        <v>Jack Bibby</v>
      </c>
      <c r="D172" s="22">
        <v>8</v>
      </c>
      <c r="E172" s="28" t="str">
        <f>IF(D172&gt;0,LOOKUP(D172,Constants!$L$2:$L$18,Constants!$M$2:$M$18),"")</f>
        <v>City of Stoke AC</v>
      </c>
      <c r="G172" s="49">
        <v>5</v>
      </c>
      <c r="H172" s="49">
        <f t="shared" si="33"/>
        <v>8838</v>
      </c>
      <c r="I172" s="28" t="str">
        <f>IF(H172&gt;0,LOOKUP(H172,Declarations!$D$2:$D$290,Declarations!$F$2:$F$290),"")</f>
        <v>Matt McCarthy</v>
      </c>
      <c r="J172" s="22">
        <v>88</v>
      </c>
      <c r="K172" s="28" t="str">
        <f>IF(J172&gt;0,LOOKUP(J172,Constants!$L$2:$L$18,Constants!$M$2:$M$18),"")</f>
        <v>City of Stoke AC</v>
      </c>
    </row>
    <row r="173" spans="1:11" ht="14.25">
      <c r="A173" s="49">
        <v>6</v>
      </c>
      <c r="B173" s="49">
        <f t="shared" si="32"/>
        <v>738</v>
      </c>
      <c r="C173" s="28" t="str">
        <f>IF(B173&gt;0,LOOKUP(B173,Declarations!$D$2:$D$290,Declarations!$F$2:$F$290),"")</f>
        <v>Tom Hardman</v>
      </c>
      <c r="D173" s="22">
        <v>7</v>
      </c>
      <c r="E173" s="28" t="str">
        <f>IF(D173&gt;0,LOOKUP(D173,Constants!$L$2:$L$18,Constants!$M$2:$M$18),"")</f>
        <v>Tamworth AC</v>
      </c>
      <c r="G173" s="49">
        <v>6</v>
      </c>
      <c r="H173" s="49">
        <f t="shared" si="33"/>
        <v>7738</v>
      </c>
      <c r="I173" s="28" t="str">
        <f>IF(H173&gt;0,LOOKUP(H173,Declarations!$D$2:$D$290,Declarations!$F$2:$F$290),"")</f>
        <v>Ashley Smetham</v>
      </c>
      <c r="J173" s="22">
        <v>77</v>
      </c>
      <c r="K173" s="28" t="str">
        <f>IF(J173&gt;0,LOOKUP(J173,Constants!$L$2:$L$18,Constants!$M$2:$M$18),"")</f>
        <v>Tamworth AC</v>
      </c>
    </row>
    <row r="174" spans="1:11" ht="14.25">
      <c r="A174" s="49">
        <v>7</v>
      </c>
      <c r="B174" s="49">
        <f t="shared" si="32"/>
        <v>638</v>
      </c>
      <c r="C174" s="28" t="str">
        <f>IF(B174&gt;0,LOOKUP(B174,Declarations!$D$2:$D$290,Declarations!$F$2:$F$290),"")</f>
        <v>Martin Vincent</v>
      </c>
      <c r="D174" s="22">
        <v>6</v>
      </c>
      <c r="E174" s="28" t="str">
        <f>IF(D174&gt;0,LOOKUP(D174,Constants!$L$2:$L$18,Constants!$M$2:$M$18),"")</f>
        <v>Rugby &amp; Northampton AC</v>
      </c>
      <c r="G174" s="49">
        <v>7</v>
      </c>
      <c r="H174" s="49">
        <f t="shared" si="33"/>
        <v>6638</v>
      </c>
      <c r="I174" s="28" t="str">
        <f>IF(H174&gt;0,LOOKUP(H174,Declarations!$D$2:$D$290,Declarations!$F$2:$F$290),"")</f>
        <v>Paul Stone</v>
      </c>
      <c r="J174" s="22">
        <v>66</v>
      </c>
      <c r="K174" s="28" t="str">
        <f>IF(J174&gt;0,LOOKUP(J174,Constants!$L$2:$L$18,Constants!$M$2:$M$18),"")</f>
        <v>Rugby &amp; Northampton AC</v>
      </c>
    </row>
    <row r="175" spans="1:11" ht="14.25">
      <c r="A175" s="49">
        <v>8</v>
      </c>
      <c r="B175" s="49">
        <f t="shared" si="32"/>
        <v>538</v>
      </c>
      <c r="C175" s="28" t="str">
        <f>IF(B175&gt;0,LOOKUP(B175,Declarations!$D$2:$D$290,Declarations!$F$2:$F$290),"")</f>
        <v>Callum Clarke</v>
      </c>
      <c r="D175" s="22">
        <v>5</v>
      </c>
      <c r="E175" s="28" t="str">
        <f>IF(D175&gt;0,LOOKUP(D175,Constants!$L$2:$L$18,Constants!$M$2:$M$18),"")</f>
        <v>Nuneaton Harriers</v>
      </c>
      <c r="G175" s="49">
        <v>8</v>
      </c>
      <c r="H175" s="49">
        <f t="shared" si="33"/>
        <v>5538</v>
      </c>
      <c r="I175" s="28">
        <f>IF(H175&gt;0,LOOKUP(H175,Declarations!$D$2:$D$290,Declarations!$F$2:$F$290),"")</f>
        <v>0</v>
      </c>
      <c r="J175" s="22">
        <v>55</v>
      </c>
      <c r="K175" s="28" t="str">
        <f>IF(J175&gt;0,LOOKUP(J175,Constants!$L$2:$L$18,Constants!$M$2:$M$18),"")</f>
        <v>Nuneaton Harriers</v>
      </c>
    </row>
    <row r="177" spans="1:8" ht="14.25">
      <c r="A177" s="47" t="s">
        <v>34</v>
      </c>
      <c r="B177" s="47"/>
      <c r="G177" s="47"/>
      <c r="H177" s="47"/>
    </row>
    <row r="178" spans="1:12" s="50" customFormat="1" ht="14.25">
      <c r="A178" s="51">
        <v>1</v>
      </c>
      <c r="B178" s="51">
        <f>IF(D178&gt;0,D178*100+41,0)</f>
        <v>841</v>
      </c>
      <c r="C178" s="29" t="str">
        <f>IF(B178&gt;0,LOOKUP(B178,Declarations!$D$2:$D$290,Declarations!$F$2:$F$290),"")</f>
        <v>McCarthy, Chomanicz, Dohnal, Wilson</v>
      </c>
      <c r="D178" s="22">
        <v>8</v>
      </c>
      <c r="E178" s="50" t="str">
        <f>IF(D178&gt;0,LOOKUP(D178,Constants!$L$2:$L$18,Constants!$M$2:$M$18),"")</f>
        <v>City of Stoke AC</v>
      </c>
      <c r="G178" s="51"/>
      <c r="H178" s="51"/>
      <c r="I178" s="28"/>
      <c r="L178" s="52"/>
    </row>
    <row r="179" spans="1:12" s="50" customFormat="1" ht="14.25">
      <c r="A179" s="51">
        <v>2</v>
      </c>
      <c r="B179" s="51">
        <f aca="true" t="shared" si="34" ref="B179:B185">IF(D179&gt;0,D179*100+41,0)</f>
        <v>141</v>
      </c>
      <c r="C179" s="29">
        <f>IF(B179&gt;0,LOOKUP(B179,Declarations!$D$2:$D$290,Declarations!$F$2:$F$290),"")</f>
        <v>0</v>
      </c>
      <c r="D179" s="22">
        <v>1</v>
      </c>
      <c r="E179" s="50" t="str">
        <f>IF(D179&gt;0,LOOKUP(D179,Constants!$L$2:$L$18,Constants!$M$2:$M$18),"")</f>
        <v>Cannock &amp; Staffs AC</v>
      </c>
      <c r="G179" s="51"/>
      <c r="H179" s="51"/>
      <c r="I179" s="28"/>
      <c r="L179" s="52"/>
    </row>
    <row r="180" spans="1:12" s="50" customFormat="1" ht="14.25">
      <c r="A180" s="51">
        <v>3</v>
      </c>
      <c r="B180" s="51">
        <f t="shared" si="34"/>
        <v>641</v>
      </c>
      <c r="C180" s="29" t="str">
        <f>IF(B180&gt;0,LOOKUP(B180,Declarations!$D$2:$D$290,Declarations!$F$2:$F$290),"")</f>
        <v>Vincent, Stenton, Stone, Steel</v>
      </c>
      <c r="D180" s="22">
        <v>6</v>
      </c>
      <c r="E180" s="50" t="str">
        <f>IF(D180&gt;0,LOOKUP(D180,Constants!$L$2:$L$18,Constants!$M$2:$M$18),"")</f>
        <v>Rugby &amp; Northampton AC</v>
      </c>
      <c r="G180" s="51"/>
      <c r="H180" s="51"/>
      <c r="I180" s="28"/>
      <c r="L180" s="52"/>
    </row>
    <row r="181" spans="1:12" s="50" customFormat="1" ht="14.25">
      <c r="A181" s="51">
        <v>4</v>
      </c>
      <c r="B181" s="51">
        <f t="shared" si="34"/>
        <v>341</v>
      </c>
      <c r="C181" s="29" t="str">
        <f>IF(B181&gt;0,LOOKUP(B181,Declarations!$D$2:$D$290,Declarations!$F$2:$F$290),"")</f>
        <v>Lawrence, Davison, Wildrianne, Roulstone</v>
      </c>
      <c r="D181" s="22">
        <v>3</v>
      </c>
      <c r="E181" s="50" t="str">
        <f>IF(D181&gt;0,LOOKUP(D181,Constants!$L$2:$L$18,Constants!$M$2:$M$18),"")</f>
        <v>Derby AC</v>
      </c>
      <c r="G181" s="51"/>
      <c r="H181" s="51"/>
      <c r="I181" s="28"/>
      <c r="L181" s="52"/>
    </row>
    <row r="182" spans="1:12" s="50" customFormat="1" ht="14.25">
      <c r="A182" s="51">
        <v>5</v>
      </c>
      <c r="B182" s="51">
        <f t="shared" si="34"/>
        <v>741</v>
      </c>
      <c r="C182" s="29" t="str">
        <f>IF(B182&gt;0,LOOKUP(B182,Declarations!$D$2:$D$290,Declarations!$F$2:$F$290),"")</f>
        <v>Rudd, Padmore, Cash, Crawford</v>
      </c>
      <c r="D182" s="22">
        <v>7</v>
      </c>
      <c r="E182" s="50" t="str">
        <f>IF(D182&gt;0,LOOKUP(D182,Constants!$L$2:$L$18,Constants!$M$2:$M$18),"")</f>
        <v>Tamworth AC</v>
      </c>
      <c r="G182" s="51"/>
      <c r="H182" s="51"/>
      <c r="I182" s="28"/>
      <c r="L182" s="52"/>
    </row>
    <row r="183" spans="1:12" s="50" customFormat="1" ht="14.25">
      <c r="A183" s="51">
        <v>6</v>
      </c>
      <c r="B183" s="51">
        <f t="shared" si="34"/>
        <v>441</v>
      </c>
      <c r="C183" s="29">
        <f>IF(B183&gt;0,LOOKUP(B183,Declarations!$D$2:$D$290,Declarations!$F$2:$F$290),"")</f>
        <v>0</v>
      </c>
      <c r="D183" s="22">
        <v>4</v>
      </c>
      <c r="E183" s="50" t="str">
        <f>IF(D183&gt;0,LOOKUP(D183,Constants!$L$2:$L$18,Constants!$M$2:$M$18),"")</f>
        <v>Leicester Coritanian AC</v>
      </c>
      <c r="G183" s="51"/>
      <c r="H183" s="51"/>
      <c r="I183" s="28"/>
      <c r="L183" s="52"/>
    </row>
    <row r="184" spans="1:12" s="50" customFormat="1" ht="14.25">
      <c r="A184" s="51">
        <v>7</v>
      </c>
      <c r="B184" s="51">
        <f t="shared" si="34"/>
        <v>241</v>
      </c>
      <c r="C184" s="29" t="str">
        <f>IF(B184&gt;0,LOOKUP(B184,Declarations!$D$2:$D$290,Declarations!$F$2:$F$290),"")</f>
        <v>Lines, Blundell, McGranchan, </v>
      </c>
      <c r="D184" s="22">
        <v>2</v>
      </c>
      <c r="E184" s="50" t="str">
        <f>IF(D184&gt;0,LOOKUP(D184,Constants!$L$2:$L$18,Constants!$M$2:$M$18),"")</f>
        <v>Coventry Godiva Harriers &amp; Sphinx AC</v>
      </c>
      <c r="G184" s="51"/>
      <c r="H184" s="51"/>
      <c r="I184" s="28"/>
      <c r="L184" s="52"/>
    </row>
    <row r="185" spans="1:12" s="50" customFormat="1" ht="14.25">
      <c r="A185" s="51">
        <v>8</v>
      </c>
      <c r="B185" s="51">
        <f t="shared" si="34"/>
        <v>541</v>
      </c>
      <c r="C185" s="29">
        <f>IF(B185&gt;0,LOOKUP(B185,Declarations!$D$2:$D$290,Declarations!$F$2:$F$290),"")</f>
        <v>0</v>
      </c>
      <c r="D185" s="22">
        <v>5</v>
      </c>
      <c r="E185" s="50" t="str">
        <f>IF(D185&gt;0,LOOKUP(D185,Constants!$L$2:$L$18,Constants!$M$2:$M$18),"")</f>
        <v>Nuneaton Harriers</v>
      </c>
      <c r="G185" s="51"/>
      <c r="H185" s="51"/>
      <c r="I185" s="28"/>
      <c r="L185" s="52"/>
    </row>
    <row r="187" spans="1:8" ht="14.25">
      <c r="A187" s="47" t="s">
        <v>35</v>
      </c>
      <c r="B187" s="47"/>
      <c r="G187" s="47"/>
      <c r="H187" s="47"/>
    </row>
    <row r="188" spans="1:12" s="50" customFormat="1" ht="14.25">
      <c r="A188" s="51">
        <v>1</v>
      </c>
      <c r="B188" s="51">
        <f>IF(D188&gt;0,D188*100+44,0)</f>
        <v>644</v>
      </c>
      <c r="C188" s="29" t="str">
        <f>IF(B188&gt;0,LOOKUP(B188,Declarations!$D$2:$D$290,Declarations!$F$2:$F$290),"")</f>
        <v>Barritt, Ratcliffe, Emery, Labrum</v>
      </c>
      <c r="D188" s="22">
        <v>6</v>
      </c>
      <c r="E188" s="50" t="str">
        <f>IF(D188&gt;0,LOOKUP(D188,Constants!$L$2:$L$18,Constants!$M$2:$M$18),"")</f>
        <v>Rugby &amp; Northampton AC</v>
      </c>
      <c r="G188" s="51"/>
      <c r="H188" s="51"/>
      <c r="I188" s="28"/>
      <c r="L188" s="52"/>
    </row>
    <row r="189" spans="1:12" s="50" customFormat="1" ht="14.25">
      <c r="A189" s="51">
        <v>2</v>
      </c>
      <c r="B189" s="51">
        <f aca="true" t="shared" si="35" ref="B189:B195">IF(D189&gt;0,D189*100+44,0)</f>
        <v>544</v>
      </c>
      <c r="C189" s="29">
        <f>IF(B189&gt;0,LOOKUP(B189,Declarations!$D$2:$D$290,Declarations!$F$2:$F$290),"")</f>
        <v>0</v>
      </c>
      <c r="D189" s="22">
        <v>5</v>
      </c>
      <c r="E189" s="50" t="str">
        <f>IF(D189&gt;0,LOOKUP(D189,Constants!$L$2:$L$18,Constants!$M$2:$M$18),"")</f>
        <v>Nuneaton Harriers</v>
      </c>
      <c r="G189" s="51"/>
      <c r="H189" s="51"/>
      <c r="I189" s="28"/>
      <c r="L189" s="52"/>
    </row>
    <row r="190" spans="1:12" s="50" customFormat="1" ht="14.25">
      <c r="A190" s="51">
        <v>3</v>
      </c>
      <c r="B190" s="51">
        <f t="shared" si="35"/>
        <v>244</v>
      </c>
      <c r="C190" s="29" t="str">
        <f>IF(B190&gt;0,LOOKUP(B190,Declarations!$D$2:$D$290,Declarations!$F$2:$F$290),"")</f>
        <v>Bates, Speed, Lines, Blundell</v>
      </c>
      <c r="D190" s="22">
        <v>2</v>
      </c>
      <c r="E190" s="50" t="str">
        <f>IF(D190&gt;0,LOOKUP(D190,Constants!$L$2:$L$18,Constants!$M$2:$M$18),"")</f>
        <v>Coventry Godiva Harriers &amp; Sphinx AC</v>
      </c>
      <c r="G190" s="51"/>
      <c r="H190" s="51"/>
      <c r="I190" s="28"/>
      <c r="L190" s="52"/>
    </row>
    <row r="191" spans="1:12" s="50" customFormat="1" ht="14.25">
      <c r="A191" s="51">
        <v>4</v>
      </c>
      <c r="B191" s="51">
        <f t="shared" si="35"/>
        <v>144</v>
      </c>
      <c r="C191" s="29">
        <f>IF(B191&gt;0,LOOKUP(B191,Declarations!$D$2:$D$290,Declarations!$F$2:$F$290),"")</f>
        <v>0</v>
      </c>
      <c r="D191" s="22">
        <v>1</v>
      </c>
      <c r="E191" s="50" t="str">
        <f>IF(D191&gt;0,LOOKUP(D191,Constants!$L$2:$L$18,Constants!$M$2:$M$18),"")</f>
        <v>Cannock &amp; Staffs AC</v>
      </c>
      <c r="G191" s="51"/>
      <c r="H191" s="51"/>
      <c r="I191" s="28"/>
      <c r="L191" s="52"/>
    </row>
    <row r="192" spans="1:12" s="50" customFormat="1" ht="14.25">
      <c r="A192" s="51">
        <v>5</v>
      </c>
      <c r="B192" s="51">
        <f t="shared" si="35"/>
        <v>444</v>
      </c>
      <c r="C192" s="29">
        <f>IF(B192&gt;0,LOOKUP(B192,Declarations!$D$2:$D$290,Declarations!$F$2:$F$290),"")</f>
        <v>0</v>
      </c>
      <c r="D192" s="22">
        <v>4</v>
      </c>
      <c r="E192" s="50" t="str">
        <f>IF(D192&gt;0,LOOKUP(D192,Constants!$L$2:$L$18,Constants!$M$2:$M$18),"")</f>
        <v>Leicester Coritanian AC</v>
      </c>
      <c r="G192" s="51"/>
      <c r="H192" s="51"/>
      <c r="I192" s="28"/>
      <c r="L192" s="52"/>
    </row>
    <row r="193" spans="1:12" s="50" customFormat="1" ht="14.25">
      <c r="A193" s="51">
        <v>6</v>
      </c>
      <c r="B193" s="51">
        <f t="shared" si="35"/>
        <v>744</v>
      </c>
      <c r="C193" s="29" t="str">
        <f>IF(B193&gt;0,LOOKUP(B193,Declarations!$D$2:$D$290,Declarations!$F$2:$F$290),"")</f>
        <v>Lines, Jenkins, Woodward, Rudd</v>
      </c>
      <c r="D193" s="22">
        <v>7</v>
      </c>
      <c r="E193" s="50" t="str">
        <f>IF(D193&gt;0,LOOKUP(D193,Constants!$L$2:$L$18,Constants!$M$2:$M$18),"")</f>
        <v>Tamworth AC</v>
      </c>
      <c r="G193" s="51"/>
      <c r="H193" s="51"/>
      <c r="I193" s="28"/>
      <c r="L193" s="52"/>
    </row>
    <row r="194" spans="1:12" s="50" customFormat="1" ht="14.25">
      <c r="A194" s="51">
        <v>7</v>
      </c>
      <c r="B194" s="51">
        <f t="shared" si="35"/>
        <v>844</v>
      </c>
      <c r="C194" s="29" t="str">
        <f>IF(B194&gt;0,LOOKUP(B194,Declarations!$D$2:$D$290,Declarations!$F$2:$F$290),"")</f>
        <v>Shubotham, Ashman, Jones, Derricott</v>
      </c>
      <c r="D194" s="22">
        <v>8</v>
      </c>
      <c r="E194" s="50" t="str">
        <f>IF(D194&gt;0,LOOKUP(D194,Constants!$L$2:$L$18,Constants!$M$2:$M$18),"")</f>
        <v>City of Stoke AC</v>
      </c>
      <c r="G194" s="51"/>
      <c r="H194" s="51"/>
      <c r="I194" s="28"/>
      <c r="L194" s="52"/>
    </row>
    <row r="195" spans="1:12" s="50" customFormat="1" ht="14.25">
      <c r="A195" s="51">
        <v>8</v>
      </c>
      <c r="B195" s="51">
        <f t="shared" si="35"/>
        <v>344</v>
      </c>
      <c r="C195" s="29" t="str">
        <f>IF(B195&gt;0,LOOKUP(B195,Declarations!$D$2:$D$290,Declarations!$F$2:$F$290),"")</f>
        <v>Payne, Chetwyn, Davison, Lawrence</v>
      </c>
      <c r="D195" s="22">
        <v>3</v>
      </c>
      <c r="E195" s="50" t="str">
        <f>IF(D195&gt;0,LOOKUP(D195,Constants!$L$2:$L$18,Constants!$M$2:$M$18),"")</f>
        <v>Derby AC</v>
      </c>
      <c r="G195" s="51"/>
      <c r="H195" s="51"/>
      <c r="I195" s="28"/>
      <c r="L195" s="52"/>
    </row>
  </sheetData>
  <mergeCells count="6">
    <mergeCell ref="A135:E135"/>
    <mergeCell ref="G135:K135"/>
    <mergeCell ref="A1:E1"/>
    <mergeCell ref="G1:K1"/>
    <mergeCell ref="A73:E73"/>
    <mergeCell ref="G73:K73"/>
  </mergeCells>
  <printOptions horizontalCentered="1"/>
  <pageMargins left="0" right="0" top="0.3937007874015748" bottom="0" header="0" footer="0"/>
  <pageSetup horizontalDpi="300" verticalDpi="300" orientation="portrait" paperSize="9" scale="70" r:id="rId1"/>
  <rowBreaks count="2" manualBreakCount="2">
    <brk id="72" max="255" man="1"/>
    <brk id="134" max="255" man="1"/>
  </rowBreaks>
</worksheet>
</file>

<file path=xl/worksheets/sheet6.xml><?xml version="1.0" encoding="utf-8"?>
<worksheet xmlns="http://schemas.openxmlformats.org/spreadsheetml/2006/main" xmlns:r="http://schemas.openxmlformats.org/officeDocument/2006/relationships">
  <dimension ref="A1:W28"/>
  <sheetViews>
    <sheetView workbookViewId="0" topLeftCell="A16">
      <selection activeCell="N16" sqref="N16"/>
    </sheetView>
  </sheetViews>
  <sheetFormatPr defaultColWidth="8.796875" defaultRowHeight="14.25"/>
  <cols>
    <col min="1" max="1" width="7.3984375" style="0" bestFit="1" customWidth="1"/>
    <col min="2" max="2" width="9.09765625" style="71" hidden="1" customWidth="1"/>
    <col min="3" max="3" width="7.3984375" style="71" hidden="1" customWidth="1"/>
    <col min="4" max="4" width="17.3984375" style="38" customWidth="1"/>
    <col min="5" max="5" width="7" style="71" hidden="1" customWidth="1"/>
    <col min="6" max="6" width="9" style="35" hidden="1" customWidth="1"/>
    <col min="7" max="7" width="9" style="71" hidden="1" customWidth="1"/>
    <col min="8" max="8" width="6.59765625" style="68" hidden="1" customWidth="1"/>
    <col min="9" max="9" width="9.5" style="0" hidden="1" customWidth="1"/>
    <col min="10" max="10" width="7.8984375" style="0" hidden="1" customWidth="1"/>
    <col min="11" max="11" width="5.8984375" style="0" hidden="1" customWidth="1"/>
    <col min="12" max="12" width="8.59765625" style="1" customWidth="1"/>
    <col min="13" max="13" width="4.69921875" style="1" customWidth="1"/>
    <col min="14" max="14" width="10.19921875" style="65" bestFit="1" customWidth="1"/>
    <col min="15" max="15" width="5.8984375" style="1" customWidth="1"/>
    <col min="16" max="16" width="5" style="1" bestFit="1" customWidth="1"/>
    <col min="17" max="17" width="4.69921875" style="1" bestFit="1" customWidth="1"/>
    <col min="18" max="23" width="4.59765625" style="0" bestFit="1" customWidth="1"/>
  </cols>
  <sheetData>
    <row r="1" spans="1:8" ht="14.25" hidden="1">
      <c r="A1" s="1">
        <f>Constants!L3</f>
        <v>1</v>
      </c>
      <c r="B1" s="68">
        <f>Constants!L4</f>
        <v>2</v>
      </c>
      <c r="C1" s="68">
        <f>Constants!L5</f>
        <v>3</v>
      </c>
      <c r="D1" s="1">
        <f>Constants!L6</f>
        <v>4</v>
      </c>
      <c r="E1" s="68">
        <f>Constants!L7</f>
        <v>5</v>
      </c>
      <c r="F1" s="1">
        <f>Constants!L8</f>
        <v>6</v>
      </c>
      <c r="G1" s="68">
        <f>Constants!L9</f>
        <v>7</v>
      </c>
      <c r="H1" s="68">
        <f>Constants!L10</f>
        <v>8</v>
      </c>
    </row>
    <row r="2" spans="1:17" ht="14.25" hidden="1">
      <c r="A2" s="1" t="str">
        <f>Constants!M3</f>
        <v>Cannock &amp; Staffs AC</v>
      </c>
      <c r="B2" s="69" t="str">
        <f>Constants!M4</f>
        <v>Coventry Godiva Harriers &amp; Sphinx AC</v>
      </c>
      <c r="C2" s="68" t="str">
        <f>Constants!M5</f>
        <v>Derby AC</v>
      </c>
      <c r="D2" s="40" t="str">
        <f>Constants!M6</f>
        <v>Leicester Coritanian AC</v>
      </c>
      <c r="E2" s="68" t="str">
        <f>Constants!M7</f>
        <v>Nuneaton Harriers</v>
      </c>
      <c r="F2" s="1" t="str">
        <f>Constants!M8</f>
        <v>Rugby &amp; Northampton AC</v>
      </c>
      <c r="G2" s="68" t="str">
        <f>Constants!M9</f>
        <v>Tamworth AC</v>
      </c>
      <c r="H2" s="69" t="str">
        <f>Constants!M10</f>
        <v>City of Stoke AC</v>
      </c>
      <c r="J2" s="1"/>
      <c r="K2" s="1"/>
      <c r="P2"/>
      <c r="Q2"/>
    </row>
    <row r="3" spans="1:17" ht="14.25" hidden="1">
      <c r="A3" s="36">
        <f>Scores!$D$41+0.0008</f>
        <v>105.0008</v>
      </c>
      <c r="B3" s="70">
        <f>Scores!$F$41+0.0007</f>
        <v>196.0007</v>
      </c>
      <c r="C3" s="70">
        <f>Scores!$H$41+0.0006</f>
        <v>160.0006</v>
      </c>
      <c r="D3" s="36">
        <f>Scores!$J$41+0.0005</f>
        <v>30.0005</v>
      </c>
      <c r="E3" s="70">
        <f>Scores!$L$41+0.0004</f>
        <v>35.0004</v>
      </c>
      <c r="F3" s="63">
        <f>Scores!$N$41+0.0003</f>
        <v>155.0003</v>
      </c>
      <c r="G3" s="70">
        <f>Scores!$P$41+0.0002</f>
        <v>265.0002</v>
      </c>
      <c r="H3" s="70">
        <f>Scores!$R$41+0.0001</f>
        <v>183.0001</v>
      </c>
      <c r="J3" s="1"/>
      <c r="K3" s="1"/>
      <c r="P3"/>
      <c r="Q3"/>
    </row>
    <row r="4" spans="1:17" ht="14.25" hidden="1">
      <c r="A4" s="36">
        <f aca="true" t="shared" si="0" ref="A4:H4">IF(A3=$J17,-1,A3)</f>
        <v>105.0008</v>
      </c>
      <c r="B4" s="70">
        <f t="shared" si="0"/>
        <v>196.0007</v>
      </c>
      <c r="C4" s="70">
        <f t="shared" si="0"/>
        <v>160.0006</v>
      </c>
      <c r="D4" s="36">
        <f t="shared" si="0"/>
        <v>30.0005</v>
      </c>
      <c r="E4" s="70">
        <f t="shared" si="0"/>
        <v>35.0004</v>
      </c>
      <c r="F4" s="63">
        <f t="shared" si="0"/>
        <v>155.0003</v>
      </c>
      <c r="G4" s="70">
        <f t="shared" si="0"/>
        <v>-1</v>
      </c>
      <c r="H4" s="70">
        <f t="shared" si="0"/>
        <v>183.0001</v>
      </c>
      <c r="J4" s="1"/>
      <c r="K4" s="1"/>
      <c r="P4"/>
      <c r="Q4"/>
    </row>
    <row r="5" spans="1:17" ht="14.25" hidden="1">
      <c r="A5" s="36">
        <f aca="true" t="shared" si="1" ref="A5:A10">IF(A4=J18,-1,A4)</f>
        <v>105.0008</v>
      </c>
      <c r="B5" s="70">
        <f aca="true" t="shared" si="2" ref="B5:H10">IF(B4=$J18,-1,B4)</f>
        <v>-1</v>
      </c>
      <c r="C5" s="70">
        <f t="shared" si="2"/>
        <v>160.0006</v>
      </c>
      <c r="D5" s="36">
        <f t="shared" si="2"/>
        <v>30.0005</v>
      </c>
      <c r="E5" s="70">
        <f t="shared" si="2"/>
        <v>35.0004</v>
      </c>
      <c r="F5" s="63">
        <f t="shared" si="2"/>
        <v>155.0003</v>
      </c>
      <c r="G5" s="70">
        <f t="shared" si="2"/>
        <v>-1</v>
      </c>
      <c r="H5" s="70">
        <f t="shared" si="2"/>
        <v>183.0001</v>
      </c>
      <c r="J5" s="1"/>
      <c r="K5" s="1"/>
      <c r="P5"/>
      <c r="Q5"/>
    </row>
    <row r="6" spans="1:17" ht="14.25" hidden="1">
      <c r="A6" s="36">
        <f t="shared" si="1"/>
        <v>105.0008</v>
      </c>
      <c r="B6" s="70">
        <f t="shared" si="2"/>
        <v>-1</v>
      </c>
      <c r="C6" s="70">
        <f t="shared" si="2"/>
        <v>160.0006</v>
      </c>
      <c r="D6" s="36">
        <f t="shared" si="2"/>
        <v>30.0005</v>
      </c>
      <c r="E6" s="70">
        <f t="shared" si="2"/>
        <v>35.0004</v>
      </c>
      <c r="F6" s="63">
        <f t="shared" si="2"/>
        <v>155.0003</v>
      </c>
      <c r="G6" s="70">
        <f t="shared" si="2"/>
        <v>-1</v>
      </c>
      <c r="H6" s="70">
        <f t="shared" si="2"/>
        <v>-1</v>
      </c>
      <c r="J6" s="1"/>
      <c r="K6" s="1"/>
      <c r="P6"/>
      <c r="Q6"/>
    </row>
    <row r="7" spans="1:17" ht="14.25" hidden="1">
      <c r="A7" s="36">
        <f t="shared" si="1"/>
        <v>105.0008</v>
      </c>
      <c r="B7" s="70">
        <f t="shared" si="2"/>
        <v>-1</v>
      </c>
      <c r="C7" s="70">
        <f t="shared" si="2"/>
        <v>-1</v>
      </c>
      <c r="D7" s="36">
        <f t="shared" si="2"/>
        <v>30.0005</v>
      </c>
      <c r="E7" s="70">
        <f t="shared" si="2"/>
        <v>35.0004</v>
      </c>
      <c r="F7" s="63">
        <f t="shared" si="2"/>
        <v>155.0003</v>
      </c>
      <c r="G7" s="70">
        <f t="shared" si="2"/>
        <v>-1</v>
      </c>
      <c r="H7" s="70">
        <f t="shared" si="2"/>
        <v>-1</v>
      </c>
      <c r="J7" s="1"/>
      <c r="K7" s="1"/>
      <c r="P7"/>
      <c r="Q7"/>
    </row>
    <row r="8" spans="1:17" ht="14.25" hidden="1">
      <c r="A8" s="36">
        <f t="shared" si="1"/>
        <v>105.0008</v>
      </c>
      <c r="B8" s="70">
        <f t="shared" si="2"/>
        <v>-1</v>
      </c>
      <c r="C8" s="70">
        <f t="shared" si="2"/>
        <v>-1</v>
      </c>
      <c r="D8" s="36">
        <f t="shared" si="2"/>
        <v>30.0005</v>
      </c>
      <c r="E8" s="70">
        <f t="shared" si="2"/>
        <v>35.0004</v>
      </c>
      <c r="F8" s="63">
        <f t="shared" si="2"/>
        <v>-1</v>
      </c>
      <c r="G8" s="70">
        <f t="shared" si="2"/>
        <v>-1</v>
      </c>
      <c r="H8" s="70">
        <f t="shared" si="2"/>
        <v>-1</v>
      </c>
      <c r="J8" s="1"/>
      <c r="K8" s="1"/>
      <c r="P8"/>
      <c r="Q8"/>
    </row>
    <row r="9" spans="1:17" ht="14.25" hidden="1">
      <c r="A9" s="36">
        <f t="shared" si="1"/>
        <v>-1</v>
      </c>
      <c r="B9" s="70">
        <f t="shared" si="2"/>
        <v>-1</v>
      </c>
      <c r="C9" s="70">
        <f t="shared" si="2"/>
        <v>-1</v>
      </c>
      <c r="D9" s="36">
        <f t="shared" si="2"/>
        <v>30.0005</v>
      </c>
      <c r="E9" s="70">
        <f t="shared" si="2"/>
        <v>35.0004</v>
      </c>
      <c r="F9" s="63">
        <f t="shared" si="2"/>
        <v>-1</v>
      </c>
      <c r="G9" s="70">
        <f t="shared" si="2"/>
        <v>-1</v>
      </c>
      <c r="H9" s="70">
        <f t="shared" si="2"/>
        <v>-1</v>
      </c>
      <c r="J9" s="1"/>
      <c r="K9" s="1"/>
      <c r="P9"/>
      <c r="Q9"/>
    </row>
    <row r="10" spans="1:17" ht="14.25" hidden="1">
      <c r="A10" s="36">
        <f t="shared" si="1"/>
        <v>-1</v>
      </c>
      <c r="B10" s="70">
        <f t="shared" si="2"/>
        <v>-1</v>
      </c>
      <c r="C10" s="70">
        <f t="shared" si="2"/>
        <v>-1</v>
      </c>
      <c r="D10" s="36">
        <f t="shared" si="2"/>
        <v>30.0005</v>
      </c>
      <c r="E10" s="70">
        <f t="shared" si="2"/>
        <v>-1</v>
      </c>
      <c r="F10" s="63">
        <f t="shared" si="2"/>
        <v>-1</v>
      </c>
      <c r="G10" s="70">
        <f t="shared" si="2"/>
        <v>-1</v>
      </c>
      <c r="H10" s="70">
        <f t="shared" si="2"/>
        <v>-1</v>
      </c>
      <c r="J10" s="1"/>
      <c r="K10" s="1"/>
      <c r="P10"/>
      <c r="Q10"/>
    </row>
    <row r="11" ht="14.25" hidden="1"/>
    <row r="12" ht="14.25" hidden="1"/>
    <row r="13" ht="14.25" hidden="1"/>
    <row r="14" ht="14.25" hidden="1"/>
    <row r="15" ht="14.25" hidden="1"/>
    <row r="16" spans="1:23" s="66" customFormat="1" ht="28.5">
      <c r="A16" s="66" t="s">
        <v>30</v>
      </c>
      <c r="B16" s="74"/>
      <c r="C16" s="74"/>
      <c r="D16" s="75" t="s">
        <v>95</v>
      </c>
      <c r="E16" s="74"/>
      <c r="F16" s="76"/>
      <c r="G16" s="74"/>
      <c r="H16" s="74"/>
      <c r="I16" s="74"/>
      <c r="L16" s="66" t="s">
        <v>114</v>
      </c>
      <c r="O16" s="77" t="s">
        <v>92</v>
      </c>
      <c r="Q16" s="94" t="s">
        <v>103</v>
      </c>
      <c r="R16" s="94"/>
      <c r="S16" s="94"/>
      <c r="T16" s="94"/>
      <c r="U16" s="94"/>
      <c r="V16" s="94"/>
      <c r="W16" s="94"/>
    </row>
    <row r="17" spans="1:23" ht="14.25">
      <c r="A17" s="1">
        <f>IF(K17&gt;0,IF(L17=L18,C17,B17),"")</f>
        <v>1</v>
      </c>
      <c r="B17" s="68">
        <v>1</v>
      </c>
      <c r="C17" s="68" t="s">
        <v>0</v>
      </c>
      <c r="D17" t="str">
        <f aca="true" t="shared" si="3" ref="D17:D24">IF(J17=A$3,A$2,IF(J17=B$3,B$2,IF(J17=C$3,C$2,IF(J17=D$3,D$2,IF(J17=E$3,E$2,IF(J17=F$3,F$2,IF(J17=G$3,G$2,H$2)))))))</f>
        <v>Tamworth AC</v>
      </c>
      <c r="E17" s="71">
        <f aca="true" t="shared" si="4" ref="E17:E24">IF(J17=A$3,A$1,IF(J17=B$3,B$1,IF(J17=C$3,C$1,IF(J17=D$3,D$1,IF(J17=E$3,E$1,IF(J17=F$3,F$1,IF(J17=G$3,G$1,H$1)))))))</f>
        <v>7</v>
      </c>
      <c r="F17" s="71">
        <v>8</v>
      </c>
      <c r="G17" s="84">
        <f>IF(K17&gt;K18,F17,IF(K17&gt;K19,AVERAGE(F17:F18),IF(K17&gt;K20,AVERAGE(F17:F19),IF(K17&gt;K21,AVERAGE(F17:F20),IF(K17&gt;K22,AVERAGE(F17:F21),IF(K17&gt;K23,AVERAGE(F17:F22),IF(K17&gt;K24,AVERAGE(F17:F23),AVERAGE(F17:F24))))))))</f>
        <v>8</v>
      </c>
      <c r="H17" s="73">
        <f>IF(K17&gt;0,1,0)</f>
        <v>1</v>
      </c>
      <c r="J17" s="70">
        <f aca="true" t="shared" si="5" ref="J17:J24">MAX(A3:H3)</f>
        <v>265.0002</v>
      </c>
      <c r="K17" s="72">
        <f>TRUNC(J17,2)</f>
        <v>265</v>
      </c>
      <c r="L17" s="42">
        <f aca="true" t="shared" si="6" ref="L17:L23">IF(K17&gt;0,K17,$H$26)</f>
        <v>265</v>
      </c>
      <c r="M17"/>
      <c r="N17">
        <f>IF(L17=$H26,"",IF(L17=L18,$J$26,""))</f>
      </c>
      <c r="O17" s="65">
        <f>G17*H17</f>
        <v>8</v>
      </c>
      <c r="P17"/>
      <c r="Q17" s="65" t="s">
        <v>96</v>
      </c>
      <c r="R17" s="65"/>
      <c r="S17" s="65"/>
      <c r="T17" s="65"/>
      <c r="U17" s="65"/>
      <c r="V17" s="65"/>
      <c r="W17" s="65"/>
    </row>
    <row r="18" spans="1:23" ht="14.25">
      <c r="A18" s="1">
        <f aca="true" t="shared" si="7" ref="A18:A23">IF(K18&gt;0,IF(L18=L17,A17,IF(L18=L19,C18,B18)),"")</f>
        <v>2</v>
      </c>
      <c r="B18" s="68">
        <v>2</v>
      </c>
      <c r="C18" s="68" t="s">
        <v>3</v>
      </c>
      <c r="D18" t="str">
        <f t="shared" si="3"/>
        <v>Coventry Godiva Harriers &amp; Sphinx AC</v>
      </c>
      <c r="E18" s="71">
        <f t="shared" si="4"/>
        <v>2</v>
      </c>
      <c r="F18" s="71">
        <v>7</v>
      </c>
      <c r="G18" s="71">
        <f>IF(K18=K17,G17,IF(K18&gt;K19,F18,IF(K18&gt;K20,AVERAGE(F18:F19),IF(K18&gt;K21,AVERAGE(F18:F20),IF(K18&gt;K22,AVERAGE(F18:F21),IF(K18&gt;K23,AVERAGE(F18:F22),IF(K18&gt;K24,AVERAGE(F18:F23),AVERAGE(F18:F24))))))))</f>
        <v>7</v>
      </c>
      <c r="H18" s="73">
        <f aca="true" t="shared" si="8" ref="H18:H24">IF(K18&gt;0,1,0)</f>
        <v>1</v>
      </c>
      <c r="J18" s="70">
        <f t="shared" si="5"/>
        <v>196.0007</v>
      </c>
      <c r="K18" s="72">
        <f aca="true" t="shared" si="9" ref="K18:K24">TRUNC(J18,2)</f>
        <v>196</v>
      </c>
      <c r="L18" s="42">
        <f t="shared" si="6"/>
        <v>196</v>
      </c>
      <c r="M18"/>
      <c r="N18">
        <f aca="true" t="shared" si="10" ref="N18:N23">IF(L18=$H$26,"",IF(L18=L19,$J$26,IF(L18=L17,$J$26,"")))</f>
      </c>
      <c r="O18" s="65">
        <f aca="true" t="shared" si="11" ref="O18:O24">G18*H18</f>
        <v>7</v>
      </c>
      <c r="P18"/>
      <c r="Q18" s="65">
        <f aca="true" t="shared" si="12" ref="Q18:Q24">IF($K18&gt;0,L$17-L18,"")</f>
        <v>69</v>
      </c>
      <c r="R18" s="65" t="s">
        <v>97</v>
      </c>
      <c r="S18" s="65"/>
      <c r="T18" s="65"/>
      <c r="U18" s="65"/>
      <c r="V18" s="65"/>
      <c r="W18" s="65"/>
    </row>
    <row r="19" spans="1:23" ht="14.25">
      <c r="A19" s="1">
        <f t="shared" si="7"/>
        <v>3</v>
      </c>
      <c r="B19" s="68">
        <v>3</v>
      </c>
      <c r="C19" s="68" t="s">
        <v>6</v>
      </c>
      <c r="D19" t="str">
        <f t="shared" si="3"/>
        <v>City of Stoke AC</v>
      </c>
      <c r="E19" s="71">
        <f t="shared" si="4"/>
        <v>8</v>
      </c>
      <c r="F19" s="71">
        <v>6</v>
      </c>
      <c r="G19" s="71">
        <f>IF(K19=K18,G18,IF(K19&gt;K20,F19,IF(K19&gt;K21,AVERAGE(F19:F20),IF(K19&gt;K22,AVERAGE(F19:F21),IF(K19&gt;K23,AVERAGE(F19:F22),IF(K19&gt;K24,AVERAGE(F19:F23),AVERAGE(F19:F24)))))))</f>
        <v>6</v>
      </c>
      <c r="H19" s="73">
        <f t="shared" si="8"/>
        <v>1</v>
      </c>
      <c r="J19" s="70">
        <f t="shared" si="5"/>
        <v>183.0001</v>
      </c>
      <c r="K19" s="72">
        <f t="shared" si="9"/>
        <v>183</v>
      </c>
      <c r="L19" s="42">
        <f t="shared" si="6"/>
        <v>183</v>
      </c>
      <c r="M19"/>
      <c r="N19">
        <f t="shared" si="10"/>
      </c>
      <c r="O19" s="65">
        <f t="shared" si="11"/>
        <v>6</v>
      </c>
      <c r="P19"/>
      <c r="Q19" s="65">
        <f t="shared" si="12"/>
        <v>82</v>
      </c>
      <c r="R19" s="65">
        <f aca="true" t="shared" si="13" ref="R19:R24">IF($K19&gt;0,$L$18-$L19,"")</f>
        <v>13</v>
      </c>
      <c r="S19" s="65" t="s">
        <v>98</v>
      </c>
      <c r="T19" s="65"/>
      <c r="U19" s="65"/>
      <c r="V19" s="65"/>
      <c r="W19" s="65"/>
    </row>
    <row r="20" spans="1:23" ht="14.25">
      <c r="A20" s="1">
        <f t="shared" si="7"/>
        <v>4</v>
      </c>
      <c r="B20" s="68">
        <v>4</v>
      </c>
      <c r="C20" s="68" t="s">
        <v>9</v>
      </c>
      <c r="D20" t="str">
        <f t="shared" si="3"/>
        <v>Derby AC</v>
      </c>
      <c r="E20" s="71">
        <f t="shared" si="4"/>
        <v>3</v>
      </c>
      <c r="F20" s="71">
        <v>5</v>
      </c>
      <c r="G20" s="71">
        <f>IF(K20=K19,G19,IF(K20&gt;K21,F20,IF(K20&gt;K22,AVERAGE(F20:F21),IF(K20&gt;K23,AVERAGE(F20:F22),IF(K20&gt;K24,AVERAGE(F20:F23),AVERAGE(F20:F24))))))</f>
        <v>5</v>
      </c>
      <c r="H20" s="73">
        <f t="shared" si="8"/>
        <v>1</v>
      </c>
      <c r="J20" s="70">
        <f t="shared" si="5"/>
        <v>160.0006</v>
      </c>
      <c r="K20" s="72">
        <f t="shared" si="9"/>
        <v>160</v>
      </c>
      <c r="L20" s="42">
        <f t="shared" si="6"/>
        <v>160</v>
      </c>
      <c r="M20"/>
      <c r="N20">
        <f t="shared" si="10"/>
      </c>
      <c r="O20" s="65">
        <f t="shared" si="11"/>
        <v>5</v>
      </c>
      <c r="P20"/>
      <c r="Q20" s="65">
        <f t="shared" si="12"/>
        <v>105</v>
      </c>
      <c r="R20" s="65">
        <f t="shared" si="13"/>
        <v>36</v>
      </c>
      <c r="S20" s="65">
        <f>IF($K20&gt;0,$L$19-$L20,"")</f>
        <v>23</v>
      </c>
      <c r="T20" s="65" t="s">
        <v>99</v>
      </c>
      <c r="U20" s="65"/>
      <c r="V20" s="65"/>
      <c r="W20" s="65"/>
    </row>
    <row r="21" spans="1:23" ht="14.25">
      <c r="A21" s="1">
        <f t="shared" si="7"/>
        <v>5</v>
      </c>
      <c r="B21" s="68">
        <v>5</v>
      </c>
      <c r="C21" s="68" t="s">
        <v>12</v>
      </c>
      <c r="D21" t="str">
        <f t="shared" si="3"/>
        <v>Rugby &amp; Northampton AC</v>
      </c>
      <c r="E21" s="71">
        <f t="shared" si="4"/>
        <v>6</v>
      </c>
      <c r="F21" s="71">
        <v>4</v>
      </c>
      <c r="G21" s="71">
        <f>IF(K21=K20,G20,IF(K21&gt;K22,F21,IF(K21&gt;K23,AVERAGE(F21:F22),IF(K21&gt;K24,AVERAGE(F21:F23),AVERAGE(F21:F24)))))</f>
        <v>4</v>
      </c>
      <c r="H21" s="73">
        <f t="shared" si="8"/>
        <v>1</v>
      </c>
      <c r="J21" s="70">
        <f t="shared" si="5"/>
        <v>155.0003</v>
      </c>
      <c r="K21" s="72">
        <f t="shared" si="9"/>
        <v>155</v>
      </c>
      <c r="L21" s="42">
        <f t="shared" si="6"/>
        <v>155</v>
      </c>
      <c r="M21"/>
      <c r="N21">
        <f t="shared" si="10"/>
      </c>
      <c r="O21" s="65">
        <f t="shared" si="11"/>
        <v>4</v>
      </c>
      <c r="P21"/>
      <c r="Q21" s="65">
        <f t="shared" si="12"/>
        <v>110</v>
      </c>
      <c r="R21" s="65">
        <f t="shared" si="13"/>
        <v>41</v>
      </c>
      <c r="S21" s="65">
        <f>IF($K21&gt;0,$L$19-$L21,"")</f>
        <v>28</v>
      </c>
      <c r="T21" s="65">
        <f>IF($K21&gt;0,$L$20-$L21,"")</f>
        <v>5</v>
      </c>
      <c r="U21" s="65" t="s">
        <v>100</v>
      </c>
      <c r="V21" s="65"/>
      <c r="W21" s="65"/>
    </row>
    <row r="22" spans="1:23" ht="14.25">
      <c r="A22" s="1">
        <f t="shared" si="7"/>
        <v>6</v>
      </c>
      <c r="B22" s="68">
        <v>6</v>
      </c>
      <c r="C22" s="68" t="s">
        <v>15</v>
      </c>
      <c r="D22" t="str">
        <f t="shared" si="3"/>
        <v>Cannock &amp; Staffs AC</v>
      </c>
      <c r="E22" s="71">
        <f t="shared" si="4"/>
        <v>1</v>
      </c>
      <c r="F22" s="71">
        <v>3</v>
      </c>
      <c r="G22" s="71">
        <f>IF(K22=K21,G21,IF(K22&gt;K23,F22,IF(K22&gt;K24,AVERAGE(F22:F23),AVERAGE(F22:F24))))</f>
        <v>3</v>
      </c>
      <c r="H22" s="73">
        <f t="shared" si="8"/>
        <v>1</v>
      </c>
      <c r="J22" s="70">
        <f t="shared" si="5"/>
        <v>105.0008</v>
      </c>
      <c r="K22" s="72">
        <f t="shared" si="9"/>
        <v>105</v>
      </c>
      <c r="L22" s="42">
        <f t="shared" si="6"/>
        <v>105</v>
      </c>
      <c r="M22"/>
      <c r="N22">
        <f t="shared" si="10"/>
      </c>
      <c r="O22" s="65">
        <f t="shared" si="11"/>
        <v>3</v>
      </c>
      <c r="P22"/>
      <c r="Q22" s="65">
        <f t="shared" si="12"/>
        <v>160</v>
      </c>
      <c r="R22" s="65">
        <f t="shared" si="13"/>
        <v>91</v>
      </c>
      <c r="S22" s="65">
        <f>IF($K22&gt;0,$L$19-$L22,"")</f>
        <v>78</v>
      </c>
      <c r="T22" s="65">
        <f>IF($K22&gt;0,$L$20-$L22,"")</f>
        <v>55</v>
      </c>
      <c r="U22" s="65">
        <f>IF($K22&gt;0,$L$21-$L22,"")</f>
        <v>50</v>
      </c>
      <c r="V22" s="65" t="s">
        <v>101</v>
      </c>
      <c r="W22" s="65"/>
    </row>
    <row r="23" spans="1:23" ht="14.25">
      <c r="A23" s="1">
        <f t="shared" si="7"/>
        <v>7</v>
      </c>
      <c r="B23" s="68">
        <v>7</v>
      </c>
      <c r="C23" s="68" t="s">
        <v>17</v>
      </c>
      <c r="D23" t="str">
        <f t="shared" si="3"/>
        <v>Nuneaton Harriers</v>
      </c>
      <c r="E23" s="71">
        <f t="shared" si="4"/>
        <v>5</v>
      </c>
      <c r="F23" s="71">
        <v>2</v>
      </c>
      <c r="G23" s="71">
        <f>IF(K23=K22,G22,IF(K23&gt;K24,F23,AVERAGE(F23:F24)))</f>
        <v>2</v>
      </c>
      <c r="H23" s="73">
        <f t="shared" si="8"/>
        <v>1</v>
      </c>
      <c r="J23" s="70">
        <f t="shared" si="5"/>
        <v>35.0004</v>
      </c>
      <c r="K23" s="72">
        <f t="shared" si="9"/>
        <v>35</v>
      </c>
      <c r="L23" s="42">
        <f t="shared" si="6"/>
        <v>35</v>
      </c>
      <c r="M23"/>
      <c r="N23">
        <f t="shared" si="10"/>
      </c>
      <c r="O23" s="65">
        <f t="shared" si="11"/>
        <v>2</v>
      </c>
      <c r="P23"/>
      <c r="Q23" s="65">
        <f t="shared" si="12"/>
        <v>230</v>
      </c>
      <c r="R23" s="65">
        <f t="shared" si="13"/>
        <v>161</v>
      </c>
      <c r="S23" s="65">
        <f>IF($K23&gt;0,$L$19-$L23,"")</f>
        <v>148</v>
      </c>
      <c r="T23" s="65">
        <f>IF($K23&gt;0,$L$20-$L23,"")</f>
        <v>125</v>
      </c>
      <c r="U23" s="65">
        <f>IF($K23&gt;0,$L$21-$L23,"")</f>
        <v>120</v>
      </c>
      <c r="V23" s="65">
        <f>IF($K23&gt;0,$L$22-$L23,"")</f>
        <v>70</v>
      </c>
      <c r="W23" s="65" t="s">
        <v>102</v>
      </c>
    </row>
    <row r="24" spans="1:23" ht="14.25">
      <c r="A24" s="1">
        <f>IF(K24&gt;0,IF(L24=L23,A23,B24),"")</f>
        <v>8</v>
      </c>
      <c r="B24" s="68">
        <v>8</v>
      </c>
      <c r="C24" s="68"/>
      <c r="D24" t="str">
        <f t="shared" si="3"/>
        <v>Leicester Coritanian AC</v>
      </c>
      <c r="E24" s="71">
        <f t="shared" si="4"/>
        <v>4</v>
      </c>
      <c r="F24" s="71">
        <v>1</v>
      </c>
      <c r="G24" s="71">
        <f>IF(K24=K23,G23,F24)</f>
        <v>1</v>
      </c>
      <c r="H24" s="73">
        <f t="shared" si="8"/>
        <v>1</v>
      </c>
      <c r="J24" s="70">
        <f t="shared" si="5"/>
        <v>30.0005</v>
      </c>
      <c r="K24" s="72">
        <f t="shared" si="9"/>
        <v>30</v>
      </c>
      <c r="L24" s="42">
        <f>IF(K24&gt;0,K24,$H$26)</f>
        <v>30</v>
      </c>
      <c r="M24"/>
      <c r="N24">
        <f>IF(L24=$H$26,"",IF(L24=L23,$J$26,""))</f>
      </c>
      <c r="O24" s="65">
        <f t="shared" si="11"/>
        <v>1</v>
      </c>
      <c r="P24"/>
      <c r="Q24" s="65">
        <f t="shared" si="12"/>
        <v>235</v>
      </c>
      <c r="R24" s="65">
        <f t="shared" si="13"/>
        <v>166</v>
      </c>
      <c r="S24" s="65">
        <f>IF($K24&gt;0,$L$19-$L24,"")</f>
        <v>153</v>
      </c>
      <c r="T24" s="65">
        <f>IF($K24&gt;0,$L$20-$L24,"")</f>
        <v>130</v>
      </c>
      <c r="U24" s="65">
        <f>IF($K24&gt;0,$L$21-$L24,"")</f>
        <v>125</v>
      </c>
      <c r="V24" s="65">
        <f>IF($K24&gt;0,$L$22-$L24,"")</f>
        <v>75</v>
      </c>
      <c r="W24" s="65">
        <f>IF($K24&gt;0,$L$23-$L24,"")</f>
        <v>5</v>
      </c>
    </row>
    <row r="25" spans="6:18" ht="14.25">
      <c r="F25" s="35">
        <f>SUM(F17:F24)</f>
        <v>36</v>
      </c>
      <c r="G25" s="71">
        <f>SUM(G17:G24)</f>
        <v>36</v>
      </c>
      <c r="H25" s="71"/>
      <c r="I25" s="68"/>
      <c r="L25"/>
      <c r="N25" s="1"/>
      <c r="R25" s="1"/>
    </row>
    <row r="26" spans="8:10" ht="14.25" hidden="1">
      <c r="H26" s="68" t="s">
        <v>84</v>
      </c>
      <c r="J26" t="s">
        <v>85</v>
      </c>
    </row>
    <row r="27" spans="12:14" ht="14.25">
      <c r="L27" s="7" t="s">
        <v>115</v>
      </c>
      <c r="M27" s="1">
        <f>Scores!W41</f>
        <v>19</v>
      </c>
      <c r="N27" t="s">
        <v>116</v>
      </c>
    </row>
    <row r="28" spans="12:14" ht="14.25">
      <c r="L28" s="7" t="s">
        <v>117</v>
      </c>
      <c r="M28" s="1">
        <f>Scores!X41</f>
        <v>0</v>
      </c>
      <c r="N28" t="s">
        <v>118</v>
      </c>
    </row>
  </sheetData>
  <sheetProtection sheet="1" objects="1" scenarios="1"/>
  <mergeCells count="1">
    <mergeCell ref="Q16:W16"/>
  </mergeCells>
  <printOptions/>
  <pageMargins left="0" right="0"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40"/>
  <sheetViews>
    <sheetView zoomScale="90" zoomScaleNormal="90" workbookViewId="0" topLeftCell="A1">
      <selection activeCell="E12" sqref="E12"/>
    </sheetView>
  </sheetViews>
  <sheetFormatPr defaultColWidth="8.796875" defaultRowHeight="14.25"/>
  <cols>
    <col min="1" max="1" width="8.69921875" style="1" customWidth="1"/>
    <col min="2" max="2" width="15.8984375" style="0" customWidth="1"/>
    <col min="3" max="3" width="9" style="1" customWidth="1"/>
    <col min="4" max="5" width="11.3984375" style="1" bestFit="1" customWidth="1"/>
    <col min="6" max="6" width="12.3984375" style="0" bestFit="1" customWidth="1"/>
    <col min="7" max="7" width="12.3984375" style="0" hidden="1" customWidth="1"/>
    <col min="8" max="8" width="11.3984375" style="0" hidden="1" customWidth="1"/>
    <col min="9" max="10" width="9" style="0" hidden="1" customWidth="1"/>
    <col min="11" max="11" width="12.09765625" style="0" hidden="1" customWidth="1"/>
    <col min="12" max="12" width="9" style="0" hidden="1" customWidth="1"/>
    <col min="13" max="13" width="0" style="0" hidden="1" customWidth="1"/>
  </cols>
  <sheetData>
    <row r="1" ht="14.25">
      <c r="A1" s="62" t="s">
        <v>109</v>
      </c>
    </row>
    <row r="2" ht="14.25">
      <c r="A2" s="62"/>
    </row>
    <row r="3" spans="1:5" s="66" customFormat="1" ht="21" customHeight="1">
      <c r="A3" s="66" t="s">
        <v>30</v>
      </c>
      <c r="B3" s="67" t="s">
        <v>91</v>
      </c>
      <c r="C3" s="83" t="s">
        <v>94</v>
      </c>
      <c r="D3" s="66" t="s">
        <v>92</v>
      </c>
      <c r="E3" s="66" t="s">
        <v>93</v>
      </c>
    </row>
    <row r="4" spans="1:5" ht="14.25">
      <c r="A4" s="1">
        <v>1</v>
      </c>
      <c r="B4" t="str">
        <f>IF(C4&gt;0,LOOKUP(C4,Constants!$L$2:$L$19,Constants!$M$2:$M$19),"")</f>
        <v>Tamworth AC</v>
      </c>
      <c r="C4" s="59">
        <v>7</v>
      </c>
      <c r="D4" s="82">
        <v>16</v>
      </c>
      <c r="E4" s="82">
        <v>540.5</v>
      </c>
    </row>
    <row r="5" spans="1:5" ht="14.25">
      <c r="A5" s="1">
        <v>2</v>
      </c>
      <c r="B5" t="str">
        <f>IF(C5&gt;0,LOOKUP(C5,Constants!$L$2:$L$18,Constants!$M$2:$M$18),"")</f>
        <v>City of Stoke AC</v>
      </c>
      <c r="C5" s="59">
        <v>8</v>
      </c>
      <c r="D5" s="82">
        <v>13</v>
      </c>
      <c r="E5" s="82">
        <v>464.5</v>
      </c>
    </row>
    <row r="6" spans="1:5" ht="14.25">
      <c r="A6" s="1">
        <v>3</v>
      </c>
      <c r="B6" t="str">
        <f>IF(C6&gt;0,LOOKUP(C6,Constants!$L$2:$L$18,Constants!$M$2:$M$18),"")</f>
        <v>Cannock &amp; Staffs AC</v>
      </c>
      <c r="C6" s="59">
        <v>1</v>
      </c>
      <c r="D6" s="82">
        <v>10</v>
      </c>
      <c r="E6" s="82">
        <v>448</v>
      </c>
    </row>
    <row r="7" spans="1:5" ht="14.25">
      <c r="A7" s="1">
        <v>4</v>
      </c>
      <c r="B7" t="str">
        <f>IF(C7&gt;0,LOOKUP(C7,Constants!$L$2:$L$18,Constants!$M$2:$M$18),"")</f>
        <v>Coventry Godiva Harriers &amp; Sphinx AC</v>
      </c>
      <c r="C7" s="59">
        <v>2</v>
      </c>
      <c r="D7" s="82">
        <v>10</v>
      </c>
      <c r="E7" s="82">
        <v>417</v>
      </c>
    </row>
    <row r="8" spans="1:5" ht="14.25">
      <c r="A8" s="1">
        <v>5</v>
      </c>
      <c r="B8" t="str">
        <f>IF(C8&gt;0,LOOKUP(C8,Constants!$L$2:$L$18,Constants!$M$2:$M$18),"")</f>
        <v>Derby AC</v>
      </c>
      <c r="C8" s="59">
        <v>3</v>
      </c>
      <c r="D8" s="82">
        <v>9</v>
      </c>
      <c r="E8" s="82">
        <v>439</v>
      </c>
    </row>
    <row r="9" spans="1:5" ht="14.25">
      <c r="A9" s="1">
        <v>6</v>
      </c>
      <c r="B9" t="str">
        <f>IF(C9&gt;0,LOOKUP(C9,Constants!$L$2:$L$18,Constants!$M$2:$M$18),"")</f>
        <v>Rugby &amp; Northampton AC</v>
      </c>
      <c r="C9" s="59">
        <v>6</v>
      </c>
      <c r="D9" s="82">
        <v>8</v>
      </c>
      <c r="E9" s="82">
        <v>373</v>
      </c>
    </row>
    <row r="10" spans="1:5" ht="14.25">
      <c r="A10" s="1">
        <v>7</v>
      </c>
      <c r="B10" t="str">
        <f>IF(C10&gt;0,LOOKUP(C10,Constants!$L$2:$L$18,Constants!$M$2:$M$18),"")</f>
        <v>Nuneaton Harriers</v>
      </c>
      <c r="C10" s="59">
        <v>5</v>
      </c>
      <c r="D10" s="82">
        <v>3</v>
      </c>
      <c r="E10" s="82">
        <v>173</v>
      </c>
    </row>
    <row r="11" spans="1:5" ht="14.25">
      <c r="A11" s="1">
        <v>8</v>
      </c>
      <c r="B11" t="str">
        <f>IF(C11&gt;0,LOOKUP(C11,Constants!$L$2:$L$18,Constants!$M$2:$M$18),"")</f>
        <v>Leicester Coritanian AC</v>
      </c>
      <c r="C11" s="59">
        <v>4</v>
      </c>
      <c r="D11" s="82">
        <v>3</v>
      </c>
      <c r="E11" s="82">
        <v>158</v>
      </c>
    </row>
    <row r="13" spans="1:8" ht="14.25" hidden="1">
      <c r="A13" s="1">
        <f>Constants!L3</f>
        <v>1</v>
      </c>
      <c r="B13" s="1">
        <f>Constants!L4</f>
        <v>2</v>
      </c>
      <c r="C13" s="1">
        <f>Constants!L5</f>
        <v>3</v>
      </c>
      <c r="D13" s="1">
        <f>Constants!L6</f>
        <v>4</v>
      </c>
      <c r="E13" s="1">
        <f>Constants!L7</f>
        <v>5</v>
      </c>
      <c r="F13" s="1">
        <f>Constants!L8</f>
        <v>6</v>
      </c>
      <c r="G13" s="1">
        <f>Constants!L9</f>
        <v>7</v>
      </c>
      <c r="H13" s="1">
        <f>Constants!L10</f>
        <v>8</v>
      </c>
    </row>
    <row r="14" spans="1:8" ht="14.25" hidden="1">
      <c r="A14" s="37" t="str">
        <f>Constants!M3</f>
        <v>Cannock &amp; Staffs AC</v>
      </c>
      <c r="B14" s="38" t="str">
        <f>Constants!M4</f>
        <v>Coventry Godiva Harriers &amp; Sphinx AC</v>
      </c>
      <c r="C14" s="37" t="str">
        <f>Constants!M5</f>
        <v>Derby AC</v>
      </c>
      <c r="D14" s="37" t="str">
        <f>Constants!M6</f>
        <v>Leicester Coritanian AC</v>
      </c>
      <c r="E14" s="37" t="str">
        <f>Constants!M7</f>
        <v>Nuneaton Harriers</v>
      </c>
      <c r="F14" s="38" t="str">
        <f>Constants!M8</f>
        <v>Rugby &amp; Northampton AC</v>
      </c>
      <c r="G14" s="38" t="str">
        <f>Constants!M9</f>
        <v>Tamworth AC</v>
      </c>
      <c r="H14" s="38" t="str">
        <f>Constants!M10</f>
        <v>City of Stoke AC</v>
      </c>
    </row>
    <row r="15" spans="1:8" ht="14.25" hidden="1">
      <c r="A15" s="1">
        <f>IF($C$4=A$13,$D$4,IF($C$5=A$13,$D$5,IF($C$6=A$13,$D$6,IF($C$7=A$13,$D$7,IF($C$8=A$13,$D$8,IF($C$9=A$13,$D$9,IF($C$10=A$13,$D$10,IF($C$11=A$13,$D$11,0))))))))</f>
        <v>10</v>
      </c>
      <c r="B15" s="1">
        <f aca="true" t="shared" si="0" ref="B15:G15">IF($C$4=B$13,$D$4,IF($C$5=B$13,$D$5,IF($C$6=B$13,$D$6,IF($C$7=B$13,$D$7,IF($C$8=B$13,$D$8,IF($C$9=B$13,$D$9,IF($C$10=B$13,$D$10,IF($C$11=B$13,$D$11,0))))))))</f>
        <v>10</v>
      </c>
      <c r="C15" s="1">
        <f t="shared" si="0"/>
        <v>9</v>
      </c>
      <c r="D15" s="1">
        <f t="shared" si="0"/>
        <v>3</v>
      </c>
      <c r="E15" s="1">
        <f t="shared" si="0"/>
        <v>3</v>
      </c>
      <c r="F15" s="1">
        <f t="shared" si="0"/>
        <v>8</v>
      </c>
      <c r="G15" s="1">
        <f t="shared" si="0"/>
        <v>16</v>
      </c>
      <c r="H15" s="1">
        <f>IF($C$4=H$13,$D$4,IF($C$5=H$13,$D$5,IF($C$6=H$13,$D$6,IF($C$7=H$13,$D$7,IF($C$8=H$13,$D$8,IF($C$9=H$13,$D$9,IF($C$10=H$13,$D$10,IF($C$11=H$13,$D$11,0))))))))</f>
        <v>13</v>
      </c>
    </row>
    <row r="16" spans="1:8" ht="14.25" hidden="1">
      <c r="A16" s="1">
        <f>IF($C$4=A$13,$E$4,IF($C$5=A$13,$E$5,IF($C$6=A$13,$E$6,IF($C$7=A$13,$E$7,IF($C$8=A$13,$E$8,IF($C$9=A$13,$E$9,IF($C$10=A$13,$E$10,IF($C$11=A$13,$E$11,0))))))))</f>
        <v>448</v>
      </c>
      <c r="B16" s="1">
        <f aca="true" t="shared" si="1" ref="B16:H16">IF($C$4=B$13,$E$4,IF($C$5=B$13,$E$5,IF($C$6=B$13,$E$6,IF($C$7=B$13,$E$7,IF($C$8=B$13,$E$8,IF($C$9=B$13,$E$9,IF($C$10=B$13,$E$10,IF($C$11=B$13,$E$11,0))))))))</f>
        <v>417</v>
      </c>
      <c r="C16" s="1">
        <f t="shared" si="1"/>
        <v>439</v>
      </c>
      <c r="D16" s="1">
        <f t="shared" si="1"/>
        <v>158</v>
      </c>
      <c r="E16" s="1">
        <f t="shared" si="1"/>
        <v>173</v>
      </c>
      <c r="F16" s="1">
        <f t="shared" si="1"/>
        <v>373</v>
      </c>
      <c r="G16" s="1">
        <f t="shared" si="1"/>
        <v>540.5</v>
      </c>
      <c r="H16" s="1">
        <f t="shared" si="1"/>
        <v>464.5</v>
      </c>
    </row>
    <row r="17" spans="1:8" ht="14.25" hidden="1">
      <c r="A17">
        <f>IF('Team positions'!E17=A$13,'Team positions'!O17,IF('Team positions'!E18=A$13,'Team positions'!O18,IF('Team positions'!E19=A$13,'Team positions'!O19,IF('Team positions'!E20=A$13,'Team positions'!O20,IF('Team positions'!E21=A$13,'Team positions'!O21,IF('Team positions'!E22=A$13,'Team positions'!O22,IF('Team positions'!E23=A$13,'Team positions'!O23,IF('Team positions'!E24=A$13,'Team positions'!O24,0))))))))</f>
        <v>3</v>
      </c>
      <c r="B17">
        <f>IF('Team positions'!E17=B$13,'Team positions'!O17,IF('Team positions'!E18=B$13,'Team positions'!O18,IF('Team positions'!E19=B$13,'Team positions'!O19,IF('Team positions'!E20=B$13,'Team positions'!O20,IF('Team positions'!E21=B$13,'Team positions'!O21,IF('Team positions'!E22=B$13,'Team positions'!O22,IF('Team positions'!E23=B$13,'Team positions'!O23,IF('Team positions'!E24=B$13,'Team positions'!O24,0))))))))</f>
        <v>7</v>
      </c>
      <c r="C17" s="1">
        <f>IF('Team positions'!E17=C$13,'Team positions'!O17,IF('Team positions'!E18=C$13,'Team positions'!O18,IF('Team positions'!E19=C$13,'Team positions'!O19,IF('Team positions'!E20=C$13,'Team positions'!O20,IF('Team positions'!E21=C$13,'Team positions'!O21,IF('Team positions'!E22=C$13,'Team positions'!O22,IF('Team positions'!E23=C$13,'Team positions'!O23,IF('Team positions'!E24=C$13,'Team positions'!O24,0))))))))</f>
        <v>5</v>
      </c>
      <c r="D17" s="1">
        <f>IF('Team positions'!E17=D$13,'Team positions'!O17,IF('Team positions'!E18=D$13,'Team positions'!O18,IF('Team positions'!E19=D$13,'Team positions'!O19,IF('Team positions'!E20=D$13,'Team positions'!O20,IF('Team positions'!E21=D$13,'Team positions'!O21,IF('Team positions'!E22=D$13,'Team positions'!O22,IF('Team positions'!E23=D$13,'Team positions'!O23,IF('Team positions'!E24=D$13,'Team positions'!O24,0))))))))</f>
        <v>1</v>
      </c>
      <c r="E17" s="1">
        <f>IF('Team positions'!E17=E$13,'Team positions'!O17,IF('Team positions'!E18=E$13,'Team positions'!O18,IF('Team positions'!E19=E$13,'Team positions'!O19,IF('Team positions'!E20=E$13,'Team positions'!O20,IF('Team positions'!E21=E$13,'Team positions'!O21,IF('Team positions'!E22=E$13,'Team positions'!O22,IF('Team positions'!E23=E$13,'Team positions'!O23,IF('Team positions'!E24=E$13,'Team positions'!O24,0))))))))</f>
        <v>2</v>
      </c>
      <c r="F17">
        <f>IF('Team positions'!E17=F$13,'Team positions'!O17,IF('Team positions'!E18=F$13,'Team positions'!O18,IF('Team positions'!E19=F$13,'Team positions'!O19,IF('Team positions'!E20=F$13,'Team positions'!O20,IF('Team positions'!E21=F$13,'Team positions'!O21,IF('Team positions'!E22=F$13,'Team positions'!O22,IF('Team positions'!E23=F$13,'Team positions'!O23,IF('Team positions'!E24=F$13,'Team positions'!O24,0))))))))</f>
        <v>4</v>
      </c>
      <c r="G17">
        <f>IF('Team positions'!E17=G$13,'Team positions'!O17,IF('Team positions'!E18=G$13,'Team positions'!O18,IF('Team positions'!E19=G$13,'Team positions'!O19,IF('Team positions'!E20=G$13,'Team positions'!O20,IF('Team positions'!E21=G$13,'Team positions'!O21,IF('Team positions'!E22=G$13,'Team positions'!O22,IF('Team positions'!E23=G$13,'Team positions'!O23,IF('Team positions'!E24=G$13,'Team positions'!O24,0))))))))</f>
        <v>8</v>
      </c>
      <c r="H17">
        <f>IF('Team positions'!E17=H$13,'Team positions'!O17,IF('Team positions'!E18=H$13,'Team positions'!O18,IF('Team positions'!E19=H$13,'Team positions'!O19,IF('Team positions'!E20=H$13,'Team positions'!O20,IF('Team positions'!E21=H$13,'Team positions'!O21,IF('Team positions'!E22=H$13,'Team positions'!O22,IF('Team positions'!E23=H$13,'Team positions'!O23,IF('Team positions'!E24=H$13,'Team positions'!O24,0))))))))</f>
        <v>6</v>
      </c>
    </row>
    <row r="18" spans="1:8" ht="14.25" hidden="1">
      <c r="A18">
        <f>IF('Team positions'!E17=A$13,'Team positions'!K17,IF('Team positions'!E18=A$13,'Team positions'!K18,IF('Team positions'!E19=A$13,'Team positions'!K19,IF('Team positions'!E20=A$13,'Team positions'!K20,IF('Team positions'!E21=A$13,'Team positions'!K21,IF('Team positions'!E22=A$13,'Team positions'!K22,IF('Team positions'!E23=A$13,'Team positions'!K23,IF('Team positions'!E24=A$13,'Team positions'!K24,0))))))))</f>
        <v>105</v>
      </c>
      <c r="B18">
        <f>IF('Team positions'!E18=B$13,'Team positions'!K18,IF('Team positions'!E19=B$13,'Team positions'!K19,IF('Team positions'!E20=B$13,'Team positions'!K20,IF('Team positions'!E21=B$13,'Team positions'!K21,IF('Team positions'!E22=B$13,'Team positions'!K22,IF('Team positions'!E23=B$13,'Team positions'!K23,IF('Team positions'!E24=B$13,'Team positions'!K24,IF('Team positions'!E17=B$13,'Team positions'!K17,0))))))))</f>
        <v>196</v>
      </c>
      <c r="C18" s="1">
        <f>IF('Team positions'!E18=C$13,'Team positions'!K18,IF('Team positions'!E19=C$13,'Team positions'!K19,IF('Team positions'!E20=C$13,'Team positions'!K20,IF('Team positions'!E21=C$13,'Team positions'!K21,IF('Team positions'!E22=C$13,'Team positions'!K22,IF('Team positions'!E23=C$13,'Team positions'!K23,IF('Team positions'!E24=C$13,'Team positions'!K24,IF('Team positions'!E17=C$13,'Team positions'!K17,0))))))))</f>
        <v>160</v>
      </c>
      <c r="D18" s="1">
        <f>IF('Team positions'!E18=D$13,'Team positions'!K18,IF('Team positions'!E19=D$13,'Team positions'!K19,IF('Team positions'!E20=D$13,'Team positions'!K20,IF('Team positions'!E21=D$13,'Team positions'!K21,IF('Team positions'!E22=D$13,'Team positions'!K22,IF('Team positions'!E23=D$13,'Team positions'!K23,IF('Team positions'!E24=D$13,'Team positions'!K24,IF('Team positions'!E17=D$13,'Team positions'!K17,0))))))))</f>
        <v>30</v>
      </c>
      <c r="E18" s="1">
        <f>IF('Team positions'!E18=E$13,'Team positions'!K18,IF('Team positions'!E19=E$13,'Team positions'!K19,IF('Team positions'!E20=E$13,'Team positions'!K20,IF('Team positions'!E21=E$13,'Team positions'!K21,IF('Team positions'!E22=E$13,'Team positions'!K22,IF('Team positions'!E23=E$13,'Team positions'!K23,IF('Team positions'!E24=E$13,'Team positions'!K24,IF('Team positions'!E17=E$13,'Team positions'!K17,0))))))))</f>
        <v>35</v>
      </c>
      <c r="F18">
        <f>IF('Team positions'!E18=F$13,'Team positions'!K18,IF('Team positions'!E19=F$13,'Team positions'!K19,IF('Team positions'!E20=F$13,'Team positions'!K20,IF('Team positions'!E21=F$13,'Team positions'!K21,IF('Team positions'!E22=F$13,'Team positions'!K22,IF('Team positions'!E23=F$13,'Team positions'!K23,IF('Team positions'!E24=F$13,'Team positions'!K24,IF('Team positions'!E17=F$13,'Team positions'!K17,0))))))))</f>
        <v>155</v>
      </c>
      <c r="G18">
        <f>IF('Team positions'!E18=G$13,'Team positions'!K18,IF('Team positions'!E19=G$13,'Team positions'!K19,IF('Team positions'!E20=G$13,'Team positions'!K20,IF('Team positions'!E21=G$13,'Team positions'!K21,IF('Team positions'!E22=G$13,'Team positions'!K22,IF('Team positions'!E23=G$13,'Team positions'!K23,IF('Team positions'!E24=G$13,'Team positions'!K24,IF('Team positions'!E17=G$13,'Team positions'!K17,0))))))))</f>
        <v>265</v>
      </c>
      <c r="H18">
        <f>IF('Team positions'!E18=H$13,'Team positions'!K18,IF('Team positions'!E19=H$13,'Team positions'!K19,IF('Team positions'!E20=H$13,'Team positions'!K20,IF('Team positions'!E21=H$13,'Team positions'!K21,IF('Team positions'!E22=H$13,'Team positions'!K22,IF('Team positions'!E23=H$13,'Team positions'!K23,IF('Team positions'!E24=H$13,'Team positions'!K24,IF('Team positions'!E17=H$13,'Team positions'!K17,0))))))))</f>
        <v>183</v>
      </c>
    </row>
    <row r="19" spans="1:9" ht="14.25" hidden="1">
      <c r="A19">
        <f>A15+A17</f>
        <v>13</v>
      </c>
      <c r="B19">
        <f aca="true" t="shared" si="2" ref="B19:H20">B15+B17</f>
        <v>17</v>
      </c>
      <c r="C19" s="1">
        <f t="shared" si="2"/>
        <v>14</v>
      </c>
      <c r="D19" s="1">
        <f t="shared" si="2"/>
        <v>4</v>
      </c>
      <c r="E19" s="1">
        <f t="shared" si="2"/>
        <v>5</v>
      </c>
      <c r="F19">
        <f t="shared" si="2"/>
        <v>12</v>
      </c>
      <c r="G19">
        <f t="shared" si="2"/>
        <v>24</v>
      </c>
      <c r="H19">
        <f t="shared" si="2"/>
        <v>19</v>
      </c>
      <c r="I19" t="s">
        <v>104</v>
      </c>
    </row>
    <row r="20" spans="1:9" ht="14.25" hidden="1">
      <c r="A20">
        <f>A16+A18</f>
        <v>553</v>
      </c>
      <c r="B20">
        <f t="shared" si="2"/>
        <v>613</v>
      </c>
      <c r="C20" s="1">
        <f t="shared" si="2"/>
        <v>599</v>
      </c>
      <c r="D20" s="1">
        <f t="shared" si="2"/>
        <v>188</v>
      </c>
      <c r="E20" s="1">
        <f t="shared" si="2"/>
        <v>208</v>
      </c>
      <c r="F20">
        <f t="shared" si="2"/>
        <v>528</v>
      </c>
      <c r="G20">
        <f t="shared" si="2"/>
        <v>805.5</v>
      </c>
      <c r="H20">
        <f t="shared" si="2"/>
        <v>647.5</v>
      </c>
      <c r="I20" t="s">
        <v>105</v>
      </c>
    </row>
    <row r="21" ht="14.25" hidden="1">
      <c r="A21"/>
    </row>
    <row r="22" spans="1:8" ht="14.25" hidden="1">
      <c r="A22">
        <f>A19*10000+A20+0.0008</f>
        <v>130553.0008</v>
      </c>
      <c r="B22" s="36">
        <f>B19*10000+B20+0.0007</f>
        <v>170613.0007</v>
      </c>
      <c r="C22" s="63">
        <f>C19*10000+C20+0.0006</f>
        <v>140599.0006</v>
      </c>
      <c r="D22" s="63">
        <f>D19*10000+D20+0.0005</f>
        <v>40188.0005</v>
      </c>
      <c r="E22" s="63">
        <f>E19*10000+E20+0.0004</f>
        <v>50208.0004</v>
      </c>
      <c r="F22" s="78">
        <f>F19*10000+F20+0.0003</f>
        <v>120528.0003</v>
      </c>
      <c r="G22" s="78">
        <f>G19*10000+G20+0.0002</f>
        <v>240805.5002</v>
      </c>
      <c r="H22" s="78">
        <f>H19*10000+H20+0.0001</f>
        <v>190647.5001</v>
      </c>
    </row>
    <row r="23" spans="1:8" ht="14.25" hidden="1">
      <c r="A23">
        <f>IF(A22=$L$33,-1,A22)</f>
        <v>130553.0008</v>
      </c>
      <c r="B23" s="36">
        <f aca="true" t="shared" si="3" ref="B23:H23">IF(B22=$L$33,-1,B22)</f>
        <v>170613.0007</v>
      </c>
      <c r="C23" s="63">
        <f t="shared" si="3"/>
        <v>140599.0006</v>
      </c>
      <c r="D23" s="63">
        <f t="shared" si="3"/>
        <v>40188.0005</v>
      </c>
      <c r="E23" s="63">
        <f t="shared" si="3"/>
        <v>50208.0004</v>
      </c>
      <c r="F23" s="78">
        <f t="shared" si="3"/>
        <v>120528.0003</v>
      </c>
      <c r="G23" s="78">
        <f t="shared" si="3"/>
        <v>-1</v>
      </c>
      <c r="H23" s="78">
        <f t="shared" si="3"/>
        <v>190647.5001</v>
      </c>
    </row>
    <row r="24" spans="1:8" ht="14.25" hidden="1">
      <c r="A24">
        <f>IF(A23=$L$34,-1,A23)</f>
        <v>130553.0008</v>
      </c>
      <c r="B24" s="36">
        <f aca="true" t="shared" si="4" ref="B24:H24">IF(B23=$L$34,-1,B23)</f>
        <v>170613.0007</v>
      </c>
      <c r="C24" s="63">
        <f t="shared" si="4"/>
        <v>140599.0006</v>
      </c>
      <c r="D24" s="63">
        <f t="shared" si="4"/>
        <v>40188.0005</v>
      </c>
      <c r="E24" s="63">
        <f t="shared" si="4"/>
        <v>50208.0004</v>
      </c>
      <c r="F24" s="78">
        <f t="shared" si="4"/>
        <v>120528.0003</v>
      </c>
      <c r="G24" s="78">
        <f t="shared" si="4"/>
        <v>-1</v>
      </c>
      <c r="H24" s="78">
        <f t="shared" si="4"/>
        <v>-1</v>
      </c>
    </row>
    <row r="25" spans="1:8" ht="14.25" hidden="1">
      <c r="A25">
        <f aca="true" t="shared" si="5" ref="A25:H29">IF(A24=$L35,-1,A24)</f>
        <v>130553.0008</v>
      </c>
      <c r="B25" s="36">
        <f t="shared" si="5"/>
        <v>-1</v>
      </c>
      <c r="C25" s="63">
        <f t="shared" si="5"/>
        <v>140599.0006</v>
      </c>
      <c r="D25" s="63">
        <f t="shared" si="5"/>
        <v>40188.0005</v>
      </c>
      <c r="E25" s="63">
        <f t="shared" si="5"/>
        <v>50208.0004</v>
      </c>
      <c r="F25" s="78">
        <f t="shared" si="5"/>
        <v>120528.0003</v>
      </c>
      <c r="G25" s="78">
        <f t="shared" si="5"/>
        <v>-1</v>
      </c>
      <c r="H25" s="78">
        <f t="shared" si="5"/>
        <v>-1</v>
      </c>
    </row>
    <row r="26" spans="1:8" ht="14.25" hidden="1">
      <c r="A26">
        <f t="shared" si="5"/>
        <v>130553.0008</v>
      </c>
      <c r="B26" s="36">
        <f t="shared" si="5"/>
        <v>-1</v>
      </c>
      <c r="C26" s="63">
        <f t="shared" si="5"/>
        <v>-1</v>
      </c>
      <c r="D26" s="63">
        <f t="shared" si="5"/>
        <v>40188.0005</v>
      </c>
      <c r="E26" s="63">
        <f t="shared" si="5"/>
        <v>50208.0004</v>
      </c>
      <c r="F26" s="78">
        <f t="shared" si="5"/>
        <v>120528.0003</v>
      </c>
      <c r="G26" s="78">
        <f t="shared" si="5"/>
        <v>-1</v>
      </c>
      <c r="H26" s="78">
        <f t="shared" si="5"/>
        <v>-1</v>
      </c>
    </row>
    <row r="27" spans="1:8" ht="14.25" hidden="1">
      <c r="A27">
        <f t="shared" si="5"/>
        <v>-1</v>
      </c>
      <c r="B27">
        <f t="shared" si="5"/>
        <v>-1</v>
      </c>
      <c r="C27" s="1">
        <f t="shared" si="5"/>
        <v>-1</v>
      </c>
      <c r="D27" s="1">
        <f t="shared" si="5"/>
        <v>40188.0005</v>
      </c>
      <c r="E27" s="1">
        <f t="shared" si="5"/>
        <v>50208.0004</v>
      </c>
      <c r="F27">
        <f t="shared" si="5"/>
        <v>120528.0003</v>
      </c>
      <c r="G27">
        <f t="shared" si="5"/>
        <v>-1</v>
      </c>
      <c r="H27">
        <f t="shared" si="5"/>
        <v>-1</v>
      </c>
    </row>
    <row r="28" spans="1:8" ht="14.25" hidden="1">
      <c r="A28">
        <f t="shared" si="5"/>
        <v>-1</v>
      </c>
      <c r="B28">
        <f t="shared" si="5"/>
        <v>-1</v>
      </c>
      <c r="C28" s="1">
        <f t="shared" si="5"/>
        <v>-1</v>
      </c>
      <c r="D28" s="1">
        <f t="shared" si="5"/>
        <v>40188.0005</v>
      </c>
      <c r="E28" s="1">
        <f t="shared" si="5"/>
        <v>50208.0004</v>
      </c>
      <c r="F28">
        <f t="shared" si="5"/>
        <v>-1</v>
      </c>
      <c r="G28">
        <f t="shared" si="5"/>
        <v>-1</v>
      </c>
      <c r="H28">
        <f t="shared" si="5"/>
        <v>-1</v>
      </c>
    </row>
    <row r="29" spans="1:8" ht="14.25" hidden="1">
      <c r="A29">
        <f t="shared" si="5"/>
        <v>-1</v>
      </c>
      <c r="B29">
        <f t="shared" si="5"/>
        <v>-1</v>
      </c>
      <c r="C29" s="1">
        <f t="shared" si="5"/>
        <v>-1</v>
      </c>
      <c r="D29" s="1">
        <f t="shared" si="5"/>
        <v>40188.0005</v>
      </c>
      <c r="E29" s="1">
        <f t="shared" si="5"/>
        <v>-1</v>
      </c>
      <c r="F29">
        <f t="shared" si="5"/>
        <v>-1</v>
      </c>
      <c r="G29">
        <f t="shared" si="5"/>
        <v>-1</v>
      </c>
      <c r="H29">
        <f t="shared" si="5"/>
        <v>-1</v>
      </c>
    </row>
    <row r="30" ht="14.25">
      <c r="A30" s="79" t="s">
        <v>110</v>
      </c>
    </row>
    <row r="32" spans="1:6" ht="15" customHeight="1">
      <c r="A32" s="66" t="s">
        <v>30</v>
      </c>
      <c r="B32" s="67" t="s">
        <v>91</v>
      </c>
      <c r="C32" s="83" t="s">
        <v>94</v>
      </c>
      <c r="D32" s="66" t="s">
        <v>92</v>
      </c>
      <c r="E32" s="66" t="s">
        <v>93</v>
      </c>
      <c r="F32" s="1"/>
    </row>
    <row r="33" spans="1:12" ht="14.25">
      <c r="A33" s="1">
        <v>1</v>
      </c>
      <c r="B33" t="str">
        <f aca="true" t="shared" si="6" ref="B33:B40">IF($L33=$A$22,$A$14,IF($L33=$B$22,$B$14,IF($L33=$C$22,$C$14,IF($L33=$D$22,$D$14,IF($L33=$E$22,$E$14,IF($L33=$F$22,$F$14,IF($L33=$G$22,$G$14,IF($L33=$H$22,$H$14))))))))</f>
        <v>Tamworth AC</v>
      </c>
      <c r="C33" s="9">
        <f>IF($L33=$A$22,$A$13,IF($L33=$B$22,$B$13,IF($L33=$C$22,$C$13,IF($L33=$D$22,$D$13,IF($L33=$E$22,$E$13,IF($L33=$F$22,$F$13,IF($L33=$G$22,$G$13,IF($L33=$H$22,$H$13))))))))</f>
        <v>7</v>
      </c>
      <c r="D33" s="1">
        <f aca="true" t="shared" si="7" ref="D33:D40">IF($L33=$A$22,$A$19,IF($L33=$B$22,$B$19,IF($L33=$C$22,$C$19,IF($L33=$D$22,$D$19,IF($L33=$E$22,$E$19,IF($L33=$F$22,$F$19,IF($L33=$G$22,$G$19,IF($L33=$H$22,$H$19))))))))</f>
        <v>24</v>
      </c>
      <c r="E33" s="1">
        <f aca="true" t="shared" si="8" ref="E33:E40">IF($L33=$A$22,$A$20,IF($L33=$B$22,$B$20,IF($L33=$C$22,$C$20,IF($L33=$D$22,$D$20,IF($L33=$E$22,$E$20,IF($L33=$F$22,$F$20,IF($L33=$G$22,$G$20,IF($L33=$H$22,$H$20))))))))</f>
        <v>805.5</v>
      </c>
      <c r="F33" s="1"/>
      <c r="G33" s="1"/>
      <c r="H33" s="1"/>
      <c r="I33" s="1"/>
      <c r="J33" s="1"/>
      <c r="L33">
        <f aca="true" t="shared" si="9" ref="L33:L40">MAX(A22:H22)</f>
        <v>240805.5002</v>
      </c>
    </row>
    <row r="34" spans="1:12" ht="14.25">
      <c r="A34" s="1">
        <v>2</v>
      </c>
      <c r="B34" t="str">
        <f t="shared" si="6"/>
        <v>City of Stoke AC</v>
      </c>
      <c r="C34" s="9">
        <f aca="true" t="shared" si="10" ref="C34:C40">IF($L34=$A$22,$A$13,IF($L34=$B$22,$B$13,IF($L34=$C$22,$C$13,IF($L34=$D$22,$D$13,IF($L34=$E$22,$E$13,IF($L34=$F$22,$F$13,IF($L34=$G$22,$G$13,IF($L34=$H$22,$H$13))))))))</f>
        <v>8</v>
      </c>
      <c r="D34" s="1">
        <f t="shared" si="7"/>
        <v>19</v>
      </c>
      <c r="E34" s="1">
        <f t="shared" si="8"/>
        <v>647.5</v>
      </c>
      <c r="F34" s="1"/>
      <c r="G34" s="1"/>
      <c r="H34" s="1"/>
      <c r="I34" s="1"/>
      <c r="J34" s="1"/>
      <c r="L34">
        <f t="shared" si="9"/>
        <v>190647.5001</v>
      </c>
    </row>
    <row r="35" spans="1:12" ht="14.25">
      <c r="A35" s="1">
        <v>3</v>
      </c>
      <c r="B35" t="str">
        <f t="shared" si="6"/>
        <v>Coventry Godiva Harriers &amp; Sphinx AC</v>
      </c>
      <c r="C35" s="9">
        <f t="shared" si="10"/>
        <v>2</v>
      </c>
      <c r="D35" s="1">
        <f t="shared" si="7"/>
        <v>17</v>
      </c>
      <c r="E35" s="1">
        <f t="shared" si="8"/>
        <v>613</v>
      </c>
      <c r="F35" s="1"/>
      <c r="G35" s="1"/>
      <c r="H35" s="1"/>
      <c r="I35" s="1"/>
      <c r="J35" s="1"/>
      <c r="L35">
        <f t="shared" si="9"/>
        <v>170613.0007</v>
      </c>
    </row>
    <row r="36" spans="1:12" ht="14.25">
      <c r="A36" s="1">
        <v>4</v>
      </c>
      <c r="B36" t="str">
        <f t="shared" si="6"/>
        <v>Derby AC</v>
      </c>
      <c r="C36" s="9">
        <f t="shared" si="10"/>
        <v>3</v>
      </c>
      <c r="D36" s="1">
        <f t="shared" si="7"/>
        <v>14</v>
      </c>
      <c r="E36" s="1">
        <f t="shared" si="8"/>
        <v>599</v>
      </c>
      <c r="F36" s="1"/>
      <c r="G36" s="1"/>
      <c r="H36" s="1"/>
      <c r="I36" s="1"/>
      <c r="J36" s="1"/>
      <c r="L36">
        <f t="shared" si="9"/>
        <v>140599.0006</v>
      </c>
    </row>
    <row r="37" spans="1:12" ht="14.25">
      <c r="A37" s="1">
        <v>5</v>
      </c>
      <c r="B37" t="str">
        <f t="shared" si="6"/>
        <v>Cannock &amp; Staffs AC</v>
      </c>
      <c r="C37" s="9">
        <f t="shared" si="10"/>
        <v>1</v>
      </c>
      <c r="D37" s="1">
        <f t="shared" si="7"/>
        <v>13</v>
      </c>
      <c r="E37" s="1">
        <f t="shared" si="8"/>
        <v>553</v>
      </c>
      <c r="F37" s="1"/>
      <c r="G37" s="1"/>
      <c r="H37" s="1"/>
      <c r="I37" s="1"/>
      <c r="J37" s="1"/>
      <c r="L37">
        <f t="shared" si="9"/>
        <v>130553.0008</v>
      </c>
    </row>
    <row r="38" spans="1:12" ht="14.25">
      <c r="A38" s="1">
        <v>6</v>
      </c>
      <c r="B38" t="str">
        <f t="shared" si="6"/>
        <v>Rugby &amp; Northampton AC</v>
      </c>
      <c r="C38" s="9">
        <f t="shared" si="10"/>
        <v>6</v>
      </c>
      <c r="D38" s="1">
        <f t="shared" si="7"/>
        <v>12</v>
      </c>
      <c r="E38" s="1">
        <f t="shared" si="8"/>
        <v>528</v>
      </c>
      <c r="F38" s="1"/>
      <c r="G38" s="1"/>
      <c r="H38" s="1"/>
      <c r="I38" s="1"/>
      <c r="J38" s="1"/>
      <c r="L38">
        <f t="shared" si="9"/>
        <v>120528.0003</v>
      </c>
    </row>
    <row r="39" spans="1:12" ht="14.25">
      <c r="A39" s="1">
        <v>7</v>
      </c>
      <c r="B39" t="str">
        <f t="shared" si="6"/>
        <v>Nuneaton Harriers</v>
      </c>
      <c r="C39" s="9">
        <f t="shared" si="10"/>
        <v>5</v>
      </c>
      <c r="D39" s="1">
        <f t="shared" si="7"/>
        <v>5</v>
      </c>
      <c r="E39" s="1">
        <f t="shared" si="8"/>
        <v>208</v>
      </c>
      <c r="F39" s="1"/>
      <c r="G39" s="1"/>
      <c r="H39" s="1"/>
      <c r="I39" s="1"/>
      <c r="J39" s="1"/>
      <c r="L39">
        <f t="shared" si="9"/>
        <v>50208.0004</v>
      </c>
    </row>
    <row r="40" spans="1:12" ht="14.25">
      <c r="A40" s="1">
        <v>8</v>
      </c>
      <c r="B40" t="str">
        <f t="shared" si="6"/>
        <v>Leicester Coritanian AC</v>
      </c>
      <c r="C40" s="9">
        <f t="shared" si="10"/>
        <v>4</v>
      </c>
      <c r="D40" s="1">
        <f t="shared" si="7"/>
        <v>4</v>
      </c>
      <c r="E40" s="1">
        <f t="shared" si="8"/>
        <v>188</v>
      </c>
      <c r="F40" s="1"/>
      <c r="G40" s="1"/>
      <c r="H40" s="1"/>
      <c r="I40" s="1"/>
      <c r="J40" s="1"/>
      <c r="L40">
        <f t="shared" si="9"/>
        <v>40188.0005</v>
      </c>
    </row>
  </sheetData>
  <sheetProtection sheet="1" objects="1" scenarios="1"/>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41"/>
  <sheetViews>
    <sheetView zoomScale="75" zoomScaleNormal="75" workbookViewId="0" topLeftCell="A1">
      <selection activeCell="E12" sqref="E12"/>
    </sheetView>
  </sheetViews>
  <sheetFormatPr defaultColWidth="8.796875" defaultRowHeight="14.25"/>
  <cols>
    <col min="1" max="1" width="12.3984375" style="1" bestFit="1" customWidth="1"/>
    <col min="2" max="2" width="5.69921875" style="41" customWidth="1"/>
    <col min="3" max="3" width="2.69921875" style="41" customWidth="1"/>
    <col min="4" max="4" width="12.3984375" style="1" customWidth="1"/>
    <col min="5" max="5" width="5.69921875" style="41" customWidth="1"/>
    <col min="7" max="7" width="7.59765625" style="0" customWidth="1"/>
    <col min="8" max="8" width="3.5" style="0" bestFit="1" customWidth="1"/>
    <col min="9" max="9" width="7.19921875" style="0" customWidth="1"/>
    <col min="10" max="10" width="5.8984375" style="0" customWidth="1"/>
    <col min="12" max="12" width="4.69921875" style="1" customWidth="1"/>
    <col min="13" max="13" width="18.3984375" style="0" customWidth="1"/>
    <col min="15" max="15" width="0" style="0" hidden="1" customWidth="1"/>
  </cols>
  <sheetData>
    <row r="1" spans="1:15" ht="14.25">
      <c r="A1" s="95" t="s">
        <v>82</v>
      </c>
      <c r="B1" s="95"/>
      <c r="C1"/>
      <c r="D1" s="95" t="s">
        <v>83</v>
      </c>
      <c r="E1" s="95"/>
      <c r="G1" s="95" t="s">
        <v>80</v>
      </c>
      <c r="H1" s="95"/>
      <c r="I1" s="95"/>
      <c r="J1" s="95"/>
      <c r="L1" s="95" t="s">
        <v>36</v>
      </c>
      <c r="M1" s="95"/>
      <c r="O1" t="s">
        <v>56</v>
      </c>
    </row>
    <row r="2" spans="1:13" ht="14.25">
      <c r="A2" s="1" t="s">
        <v>30</v>
      </c>
      <c r="B2" s="41" t="s">
        <v>31</v>
      </c>
      <c r="D2" s="1" t="s">
        <v>30</v>
      </c>
      <c r="E2" s="41" t="s">
        <v>31</v>
      </c>
      <c r="G2" s="95" t="s">
        <v>54</v>
      </c>
      <c r="H2" s="95"/>
      <c r="I2" s="95" t="s">
        <v>55</v>
      </c>
      <c r="J2" s="95"/>
      <c r="L2" s="12">
        <f>L3-1</f>
        <v>0</v>
      </c>
      <c r="M2" s="15" t="str">
        <f>M11</f>
        <v>Cannock &amp; Staffs AC</v>
      </c>
    </row>
    <row r="3" spans="7:13" ht="14.25">
      <c r="G3">
        <f>B4+B12+B19+B25+B30+B34+B37+B39</f>
        <v>53</v>
      </c>
      <c r="H3" t="s">
        <v>33</v>
      </c>
      <c r="I3">
        <f>$G$3-G3</f>
        <v>0</v>
      </c>
      <c r="J3" t="s">
        <v>48</v>
      </c>
      <c r="L3" s="14">
        <v>1</v>
      </c>
      <c r="M3" s="39" t="s">
        <v>121</v>
      </c>
    </row>
    <row r="4" spans="1:13" ht="15">
      <c r="A4" s="5">
        <v>1</v>
      </c>
      <c r="B4" s="43">
        <v>11</v>
      </c>
      <c r="C4" s="43"/>
      <c r="D4" s="5">
        <v>1</v>
      </c>
      <c r="E4" s="43">
        <v>9</v>
      </c>
      <c r="G4">
        <f>B4+B12+B19+B25+B30+B34+B37</f>
        <v>50</v>
      </c>
      <c r="H4" t="s">
        <v>33</v>
      </c>
      <c r="I4">
        <f aca="true" t="shared" si="0" ref="I4:I11">$G$3-G4</f>
        <v>3</v>
      </c>
      <c r="J4" t="s">
        <v>48</v>
      </c>
      <c r="L4" s="14">
        <v>2</v>
      </c>
      <c r="M4" s="39" t="s">
        <v>122</v>
      </c>
    </row>
    <row r="5" spans="1:13" ht="14.25">
      <c r="A5" s="1" t="s">
        <v>0</v>
      </c>
      <c r="B5" s="41">
        <f>(B4+B12)/2</f>
        <v>10</v>
      </c>
      <c r="D5" s="1" t="s">
        <v>0</v>
      </c>
      <c r="E5" s="41">
        <f>(E4+E12)/2</f>
        <v>8</v>
      </c>
      <c r="G5">
        <f>B4+B12+B19+B25+B30+B34</f>
        <v>46</v>
      </c>
      <c r="H5" t="s">
        <v>33</v>
      </c>
      <c r="I5">
        <f t="shared" si="0"/>
        <v>7</v>
      </c>
      <c r="J5" t="s">
        <v>48</v>
      </c>
      <c r="L5" s="14">
        <v>3</v>
      </c>
      <c r="M5" s="39" t="s">
        <v>123</v>
      </c>
    </row>
    <row r="6" spans="1:13" ht="14.25">
      <c r="A6" s="1" t="s">
        <v>1</v>
      </c>
      <c r="B6" s="41">
        <f>(B4+B12+B19)/3</f>
        <v>9.333333333333334</v>
      </c>
      <c r="D6" s="1" t="s">
        <v>1</v>
      </c>
      <c r="E6" s="41">
        <f>(E4+E12+E19)/3</f>
        <v>7.333333333333333</v>
      </c>
      <c r="G6">
        <f>B4+B12+B19+B25+B30</f>
        <v>41</v>
      </c>
      <c r="H6" t="s">
        <v>33</v>
      </c>
      <c r="I6">
        <f t="shared" si="0"/>
        <v>12</v>
      </c>
      <c r="J6" t="s">
        <v>48</v>
      </c>
      <c r="L6" s="14">
        <v>4</v>
      </c>
      <c r="M6" s="39" t="s">
        <v>124</v>
      </c>
    </row>
    <row r="7" spans="1:13" ht="14.25">
      <c r="A7" s="1" t="s">
        <v>2</v>
      </c>
      <c r="B7" s="41">
        <f>(B4+B12+B19+B25)/4</f>
        <v>8.75</v>
      </c>
      <c r="D7" s="1" t="s">
        <v>2</v>
      </c>
      <c r="E7" s="41">
        <f>(E4+E12+E19+E25)/4</f>
        <v>6.75</v>
      </c>
      <c r="G7">
        <f>B4+B12+B19+B25</f>
        <v>35</v>
      </c>
      <c r="H7" t="s">
        <v>33</v>
      </c>
      <c r="I7">
        <f t="shared" si="0"/>
        <v>18</v>
      </c>
      <c r="J7" t="s">
        <v>48</v>
      </c>
      <c r="L7" s="14">
        <v>5</v>
      </c>
      <c r="M7" s="39" t="s">
        <v>125</v>
      </c>
    </row>
    <row r="8" spans="1:13" ht="14.25">
      <c r="A8" s="1" t="s">
        <v>58</v>
      </c>
      <c r="B8" s="41">
        <f>(B4+B12+B19+B25+B30)/5</f>
        <v>8.2</v>
      </c>
      <c r="D8" s="1" t="s">
        <v>58</v>
      </c>
      <c r="E8" s="41">
        <f>(E4+E12+E19+E25+E30)/5</f>
        <v>6.2</v>
      </c>
      <c r="G8">
        <f>B4+B12+B19</f>
        <v>28</v>
      </c>
      <c r="H8" t="s">
        <v>33</v>
      </c>
      <c r="I8">
        <f t="shared" si="0"/>
        <v>25</v>
      </c>
      <c r="J8" t="s">
        <v>48</v>
      </c>
      <c r="L8" s="14">
        <v>6</v>
      </c>
      <c r="M8" s="39" t="s">
        <v>126</v>
      </c>
    </row>
    <row r="9" spans="1:13" ht="14.25">
      <c r="A9" s="1" t="s">
        <v>59</v>
      </c>
      <c r="B9" s="41">
        <f>(B4+B12+B19+B25+B30+B34)/6</f>
        <v>7.666666666666667</v>
      </c>
      <c r="D9" s="1" t="s">
        <v>59</v>
      </c>
      <c r="E9" s="41">
        <f>(E4+E12+E19+E25+E30+E34)/6</f>
        <v>5.666666666666667</v>
      </c>
      <c r="G9">
        <f>B4+B12</f>
        <v>20</v>
      </c>
      <c r="H9" t="s">
        <v>33</v>
      </c>
      <c r="I9">
        <f t="shared" si="0"/>
        <v>33</v>
      </c>
      <c r="J9" t="s">
        <v>48</v>
      </c>
      <c r="L9" s="14">
        <v>7</v>
      </c>
      <c r="M9" s="39" t="s">
        <v>127</v>
      </c>
    </row>
    <row r="10" spans="1:13" ht="14.25">
      <c r="A10" s="1" t="s">
        <v>60</v>
      </c>
      <c r="B10" s="41">
        <f>(B4+B12+B19+B25+B30+B34+B37)/7</f>
        <v>7.142857142857143</v>
      </c>
      <c r="D10" s="1" t="s">
        <v>60</v>
      </c>
      <c r="E10" s="41">
        <f>(E4+E12+E19+E25+E30+E34+E37)/7</f>
        <v>5.142857142857143</v>
      </c>
      <c r="G10">
        <f>B4</f>
        <v>11</v>
      </c>
      <c r="H10" t="s">
        <v>33</v>
      </c>
      <c r="I10">
        <f t="shared" si="0"/>
        <v>42</v>
      </c>
      <c r="J10" t="s">
        <v>48</v>
      </c>
      <c r="L10" s="14">
        <v>8</v>
      </c>
      <c r="M10" s="39" t="s">
        <v>128</v>
      </c>
    </row>
    <row r="11" spans="1:13" ht="14.25">
      <c r="A11" s="1" t="s">
        <v>61</v>
      </c>
      <c r="B11" s="41">
        <f>(B4+B12+B19+B25+B30+B34+B37+B39)/8</f>
        <v>6.625</v>
      </c>
      <c r="D11" s="1" t="s">
        <v>61</v>
      </c>
      <c r="E11" s="41">
        <f>(E4+E12+E19+E25+E30+E34+E37+E39)/8</f>
        <v>4.625</v>
      </c>
      <c r="G11">
        <v>0</v>
      </c>
      <c r="H11" t="s">
        <v>33</v>
      </c>
      <c r="I11">
        <f t="shared" si="0"/>
        <v>53</v>
      </c>
      <c r="J11" t="s">
        <v>48</v>
      </c>
      <c r="L11" s="1">
        <f>L3*11</f>
        <v>11</v>
      </c>
      <c r="M11" s="38" t="str">
        <f>M3</f>
        <v>Cannock &amp; Staffs AC</v>
      </c>
    </row>
    <row r="12" spans="1:13" ht="15">
      <c r="A12" s="5">
        <v>2</v>
      </c>
      <c r="B12" s="43">
        <v>9</v>
      </c>
      <c r="C12" s="43"/>
      <c r="D12" s="5">
        <v>2</v>
      </c>
      <c r="E12" s="43">
        <v>7</v>
      </c>
      <c r="L12" s="1">
        <f aca="true" t="shared" si="1" ref="L12:L18">L4*11</f>
        <v>22</v>
      </c>
      <c r="M12" s="38" t="str">
        <f aca="true" t="shared" si="2" ref="M12:M18">M4</f>
        <v>Coventry Godiva Harriers &amp; Sphinx AC</v>
      </c>
    </row>
    <row r="13" spans="1:13" ht="14.25">
      <c r="A13" s="1" t="s">
        <v>3</v>
      </c>
      <c r="B13" s="41">
        <f>(B12+B19)/2</f>
        <v>8.5</v>
      </c>
      <c r="D13" s="1" t="s">
        <v>3</v>
      </c>
      <c r="E13" s="41">
        <f>(E12+E19)/2</f>
        <v>6.5</v>
      </c>
      <c r="L13" s="1">
        <f t="shared" si="1"/>
        <v>33</v>
      </c>
      <c r="M13" s="38" t="str">
        <f t="shared" si="2"/>
        <v>Derby AC</v>
      </c>
    </row>
    <row r="14" spans="1:13" ht="14.25">
      <c r="A14" s="1" t="s">
        <v>4</v>
      </c>
      <c r="B14" s="41">
        <f>(B12+B19+B25)/3</f>
        <v>8</v>
      </c>
      <c r="D14" s="1" t="s">
        <v>4</v>
      </c>
      <c r="E14" s="41">
        <f>(E12+E19+E25)/3</f>
        <v>6</v>
      </c>
      <c r="G14" s="95" t="s">
        <v>81</v>
      </c>
      <c r="H14" s="95"/>
      <c r="I14" s="95"/>
      <c r="J14" s="95"/>
      <c r="L14" s="1">
        <f t="shared" si="1"/>
        <v>44</v>
      </c>
      <c r="M14" s="38" t="str">
        <f t="shared" si="2"/>
        <v>Leicester Coritanian AC</v>
      </c>
    </row>
    <row r="15" spans="1:13" ht="14.25">
      <c r="A15" s="1" t="s">
        <v>5</v>
      </c>
      <c r="B15" s="41">
        <f>(B12+B19+B25+B30)/4</f>
        <v>7.5</v>
      </c>
      <c r="D15" s="1" t="s">
        <v>5</v>
      </c>
      <c r="E15" s="41">
        <f>(E12+E19+E25+E30)/4</f>
        <v>5.5</v>
      </c>
      <c r="G15" s="95" t="s">
        <v>54</v>
      </c>
      <c r="H15" s="95"/>
      <c r="I15" s="95" t="s">
        <v>55</v>
      </c>
      <c r="J15" s="95"/>
      <c r="L15" s="1">
        <f t="shared" si="1"/>
        <v>55</v>
      </c>
      <c r="M15" s="38" t="str">
        <f t="shared" si="2"/>
        <v>Nuneaton Harriers</v>
      </c>
    </row>
    <row r="16" spans="1:13" ht="14.25">
      <c r="A16" s="1" t="s">
        <v>62</v>
      </c>
      <c r="B16" s="41">
        <f>(B12+B19+B25+B30+B34)/5</f>
        <v>7</v>
      </c>
      <c r="D16" s="1" t="s">
        <v>62</v>
      </c>
      <c r="E16" s="41">
        <f>(E12+E19+E25+E30+E34)/5</f>
        <v>5</v>
      </c>
      <c r="G16">
        <f>E4+E12+E19+E25+E30+E34+E37+E39</f>
        <v>37</v>
      </c>
      <c r="H16" t="s">
        <v>33</v>
      </c>
      <c r="I16">
        <f>$G$16-G16</f>
        <v>0</v>
      </c>
      <c r="J16" t="s">
        <v>48</v>
      </c>
      <c r="L16" s="1">
        <f t="shared" si="1"/>
        <v>66</v>
      </c>
      <c r="M16" s="38" t="str">
        <f t="shared" si="2"/>
        <v>Rugby &amp; Northampton AC</v>
      </c>
    </row>
    <row r="17" spans="1:13" ht="14.25">
      <c r="A17" s="1" t="s">
        <v>63</v>
      </c>
      <c r="B17" s="41">
        <f>(B12+B19+B25+B30+B34+B37)/6</f>
        <v>6.5</v>
      </c>
      <c r="D17" s="1" t="s">
        <v>63</v>
      </c>
      <c r="E17" s="41">
        <f>(E12+E19+E25+E30+E34+E37)/6</f>
        <v>4.5</v>
      </c>
      <c r="G17">
        <f>E4+E12+E19+E25+E30+E34+E37</f>
        <v>36</v>
      </c>
      <c r="H17" t="s">
        <v>33</v>
      </c>
      <c r="I17">
        <f aca="true" t="shared" si="3" ref="I17:I24">$G$16-G17</f>
        <v>1</v>
      </c>
      <c r="J17" t="s">
        <v>48</v>
      </c>
      <c r="L17" s="1">
        <f t="shared" si="1"/>
        <v>77</v>
      </c>
      <c r="M17" s="38" t="str">
        <f t="shared" si="2"/>
        <v>Tamworth AC</v>
      </c>
    </row>
    <row r="18" spans="1:13" ht="14.25">
      <c r="A18" s="1" t="s">
        <v>64</v>
      </c>
      <c r="B18" s="41">
        <f>(B12+B19+B25+B30+B34+B37+B39)/7</f>
        <v>6</v>
      </c>
      <c r="D18" s="1" t="s">
        <v>64</v>
      </c>
      <c r="E18" s="41">
        <f>(E12+E19+E25+E30+E34+E37+E39)/7</f>
        <v>4</v>
      </c>
      <c r="G18">
        <f>E4+E12+E19+E25+E30+E34</f>
        <v>34</v>
      </c>
      <c r="H18" t="s">
        <v>33</v>
      </c>
      <c r="I18">
        <f t="shared" si="3"/>
        <v>3</v>
      </c>
      <c r="J18" t="s">
        <v>48</v>
      </c>
      <c r="L18" s="1">
        <f t="shared" si="1"/>
        <v>88</v>
      </c>
      <c r="M18" s="38" t="str">
        <f t="shared" si="2"/>
        <v>City of Stoke AC</v>
      </c>
    </row>
    <row r="19" spans="1:13" ht="15">
      <c r="A19" s="5">
        <v>3</v>
      </c>
      <c r="B19" s="43">
        <v>8</v>
      </c>
      <c r="C19" s="43"/>
      <c r="D19" s="5">
        <v>3</v>
      </c>
      <c r="E19" s="43">
        <v>6</v>
      </c>
      <c r="G19">
        <f>E4+E12+E19+E25+E30</f>
        <v>31</v>
      </c>
      <c r="H19" t="s">
        <v>33</v>
      </c>
      <c r="I19">
        <f t="shared" si="3"/>
        <v>6</v>
      </c>
      <c r="J19" t="s">
        <v>48</v>
      </c>
      <c r="L19" s="80">
        <f>L18+1</f>
        <v>89</v>
      </c>
      <c r="M19" s="81" t="s">
        <v>106</v>
      </c>
    </row>
    <row r="20" spans="1:10" ht="14.25">
      <c r="A20" s="1" t="s">
        <v>6</v>
      </c>
      <c r="B20" s="41">
        <f>(B19+B25)/2</f>
        <v>7.5</v>
      </c>
      <c r="D20" s="1" t="s">
        <v>6</v>
      </c>
      <c r="E20" s="41">
        <f>(E19+E25)/2</f>
        <v>5.5</v>
      </c>
      <c r="G20">
        <f>E4+E12+E19+E25</f>
        <v>27</v>
      </c>
      <c r="H20" t="s">
        <v>33</v>
      </c>
      <c r="I20">
        <f t="shared" si="3"/>
        <v>10</v>
      </c>
      <c r="J20" t="s">
        <v>48</v>
      </c>
    </row>
    <row r="21" spans="1:10" ht="14.25">
      <c r="A21" s="1" t="s">
        <v>7</v>
      </c>
      <c r="B21" s="41">
        <f>(B19+B25+B30)/3</f>
        <v>7</v>
      </c>
      <c r="D21" s="1" t="s">
        <v>7</v>
      </c>
      <c r="E21" s="41">
        <f>(E19+E25+E30)/3</f>
        <v>5</v>
      </c>
      <c r="G21">
        <f>E4+E12+E19</f>
        <v>22</v>
      </c>
      <c r="H21" t="s">
        <v>33</v>
      </c>
      <c r="I21">
        <f t="shared" si="3"/>
        <v>15</v>
      </c>
      <c r="J21" t="s">
        <v>48</v>
      </c>
    </row>
    <row r="22" spans="1:10" ht="14.25">
      <c r="A22" s="1" t="s">
        <v>8</v>
      </c>
      <c r="B22" s="41">
        <f>(B19+B25+B30+B34)/4</f>
        <v>6.5</v>
      </c>
      <c r="D22" s="1" t="s">
        <v>8</v>
      </c>
      <c r="E22" s="41">
        <f>(E19+E25+E30+E34)/4</f>
        <v>4.5</v>
      </c>
      <c r="G22">
        <f>E4+E12</f>
        <v>16</v>
      </c>
      <c r="H22" t="s">
        <v>33</v>
      </c>
      <c r="I22">
        <f t="shared" si="3"/>
        <v>21</v>
      </c>
      <c r="J22" t="s">
        <v>48</v>
      </c>
    </row>
    <row r="23" spans="1:10" ht="14.25">
      <c r="A23" s="1" t="s">
        <v>65</v>
      </c>
      <c r="B23" s="41">
        <f>(B19+B25+B30+B34+B37)/5</f>
        <v>6</v>
      </c>
      <c r="D23" s="1" t="s">
        <v>65</v>
      </c>
      <c r="E23" s="41">
        <f>(E19+E25+E30+E34+E37)/5</f>
        <v>4</v>
      </c>
      <c r="G23">
        <f>E4</f>
        <v>9</v>
      </c>
      <c r="H23" t="s">
        <v>33</v>
      </c>
      <c r="I23">
        <f t="shared" si="3"/>
        <v>28</v>
      </c>
      <c r="J23" t="s">
        <v>48</v>
      </c>
    </row>
    <row r="24" spans="1:10" ht="14.25">
      <c r="A24" s="1" t="s">
        <v>66</v>
      </c>
      <c r="B24" s="41">
        <f>(B19+B25+B30+B34+B37+B39)/6</f>
        <v>5.5</v>
      </c>
      <c r="D24" s="1" t="s">
        <v>66</v>
      </c>
      <c r="E24" s="41">
        <f>(E19+E25+E30+E34+E37+E39)/6</f>
        <v>3.5</v>
      </c>
      <c r="G24">
        <v>0</v>
      </c>
      <c r="H24" t="s">
        <v>33</v>
      </c>
      <c r="I24">
        <f t="shared" si="3"/>
        <v>37</v>
      </c>
      <c r="J24" t="s">
        <v>48</v>
      </c>
    </row>
    <row r="25" spans="1:5" ht="15">
      <c r="A25" s="5">
        <v>4</v>
      </c>
      <c r="B25" s="43">
        <v>7</v>
      </c>
      <c r="C25" s="43"/>
      <c r="D25" s="5">
        <v>4</v>
      </c>
      <c r="E25" s="43">
        <v>5</v>
      </c>
    </row>
    <row r="26" spans="1:5" ht="14.25">
      <c r="A26" s="1" t="s">
        <v>9</v>
      </c>
      <c r="B26" s="41">
        <f>(B25+B30)/2</f>
        <v>6.5</v>
      </c>
      <c r="D26" s="1" t="s">
        <v>9</v>
      </c>
      <c r="E26" s="41">
        <f>(E25+E30)/2</f>
        <v>4.5</v>
      </c>
    </row>
    <row r="27" spans="1:5" ht="14.25">
      <c r="A27" s="1" t="s">
        <v>10</v>
      </c>
      <c r="B27" s="41">
        <f>(B25+B30+B34)/3</f>
        <v>6</v>
      </c>
      <c r="D27" s="1" t="s">
        <v>10</v>
      </c>
      <c r="E27" s="41">
        <f>(E25+E30+E34)/3</f>
        <v>4</v>
      </c>
    </row>
    <row r="28" spans="1:5" ht="14.25">
      <c r="A28" s="1" t="s">
        <v>11</v>
      </c>
      <c r="B28" s="41">
        <f>(B25+B30+B34+B37)/4</f>
        <v>5.5</v>
      </c>
      <c r="D28" s="1" t="s">
        <v>11</v>
      </c>
      <c r="E28" s="41">
        <f>(E25+E30+E34+E37)/4</f>
        <v>3.5</v>
      </c>
    </row>
    <row r="29" spans="1:5" ht="14.25">
      <c r="A29" s="1" t="s">
        <v>67</v>
      </c>
      <c r="B29" s="41">
        <f>(B25+B30+B34+B37+B39)/5</f>
        <v>5</v>
      </c>
      <c r="D29" s="1" t="s">
        <v>67</v>
      </c>
      <c r="E29" s="41">
        <f>(E25+E30+E34+E37+E39)/5</f>
        <v>3</v>
      </c>
    </row>
    <row r="30" spans="1:5" ht="15">
      <c r="A30" s="5">
        <v>5</v>
      </c>
      <c r="B30" s="43">
        <v>6</v>
      </c>
      <c r="C30" s="43"/>
      <c r="D30" s="5">
        <v>5</v>
      </c>
      <c r="E30" s="43">
        <v>4</v>
      </c>
    </row>
    <row r="31" spans="1:5" ht="14.25">
      <c r="A31" s="1" t="s">
        <v>12</v>
      </c>
      <c r="B31" s="41">
        <f>(B30+B34)/2</f>
        <v>5.5</v>
      </c>
      <c r="D31" s="1" t="s">
        <v>12</v>
      </c>
      <c r="E31" s="41">
        <f>(E30+E34)/2</f>
        <v>3.5</v>
      </c>
    </row>
    <row r="32" spans="1:5" ht="14.25">
      <c r="A32" s="1" t="s">
        <v>13</v>
      </c>
      <c r="B32" s="41">
        <f>(B30+B34+B37)/3</f>
        <v>5</v>
      </c>
      <c r="D32" s="1" t="s">
        <v>13</v>
      </c>
      <c r="E32" s="41">
        <f>(E30+E34+E37)/3</f>
        <v>3</v>
      </c>
    </row>
    <row r="33" spans="1:5" ht="14.25">
      <c r="A33" s="1" t="s">
        <v>14</v>
      </c>
      <c r="B33" s="41">
        <f>(B30+B34+B37+B39)/4</f>
        <v>4.5</v>
      </c>
      <c r="D33" s="1" t="s">
        <v>14</v>
      </c>
      <c r="E33" s="41">
        <f>(E30+E34+E37+E39)/4</f>
        <v>2.5</v>
      </c>
    </row>
    <row r="34" spans="1:5" ht="15">
      <c r="A34" s="5">
        <v>6</v>
      </c>
      <c r="B34" s="43">
        <v>5</v>
      </c>
      <c r="C34" s="43"/>
      <c r="D34" s="5">
        <v>6</v>
      </c>
      <c r="E34" s="43">
        <v>3</v>
      </c>
    </row>
    <row r="35" spans="1:5" ht="14.25">
      <c r="A35" s="1" t="s">
        <v>15</v>
      </c>
      <c r="B35" s="41">
        <f>(B34+B37)/2</f>
        <v>4.5</v>
      </c>
      <c r="D35" s="1" t="s">
        <v>15</v>
      </c>
      <c r="E35" s="41">
        <f>(E34+E37)/2</f>
        <v>2.5</v>
      </c>
    </row>
    <row r="36" spans="1:5" ht="14.25">
      <c r="A36" s="1" t="s">
        <v>16</v>
      </c>
      <c r="B36" s="41">
        <f>(B34+B37+B39)/3</f>
        <v>4</v>
      </c>
      <c r="D36" s="1" t="s">
        <v>16</v>
      </c>
      <c r="E36" s="41">
        <f>(E34+E37+E39)/3</f>
        <v>2</v>
      </c>
    </row>
    <row r="37" spans="1:5" ht="15">
      <c r="A37" s="5">
        <v>7</v>
      </c>
      <c r="B37" s="43">
        <v>4</v>
      </c>
      <c r="C37" s="43"/>
      <c r="D37" s="5">
        <v>7</v>
      </c>
      <c r="E37" s="43">
        <v>2</v>
      </c>
    </row>
    <row r="38" spans="1:5" ht="14.25">
      <c r="A38" s="1" t="s">
        <v>17</v>
      </c>
      <c r="B38" s="41">
        <f>(B37+B39)/2</f>
        <v>3.5</v>
      </c>
      <c r="D38" s="1" t="s">
        <v>17</v>
      </c>
      <c r="E38" s="41">
        <f>(E37+E39)/2</f>
        <v>1.5</v>
      </c>
    </row>
    <row r="39" spans="1:5" ht="15">
      <c r="A39" s="5">
        <v>8</v>
      </c>
      <c r="B39" s="43">
        <v>3</v>
      </c>
      <c r="C39" s="43"/>
      <c r="D39" s="5">
        <v>8</v>
      </c>
      <c r="E39" s="43">
        <v>1</v>
      </c>
    </row>
    <row r="40" spans="1:5" ht="15">
      <c r="A40" s="16">
        <v>9</v>
      </c>
      <c r="B40" s="44">
        <v>999</v>
      </c>
      <c r="C40" s="44"/>
      <c r="D40" s="16">
        <v>9</v>
      </c>
      <c r="E40" s="44">
        <v>999</v>
      </c>
    </row>
    <row r="41" spans="1:5" ht="14.25">
      <c r="A41" s="1" t="s">
        <v>28</v>
      </c>
      <c r="B41" s="41">
        <f>B4+B12+B19+B25+B30+B34+B37+B39</f>
        <v>53</v>
      </c>
      <c r="D41" s="1" t="s">
        <v>28</v>
      </c>
      <c r="E41" s="41">
        <f>E4+E12+E19+E25+E30+E34+E37+E39</f>
        <v>37</v>
      </c>
    </row>
  </sheetData>
  <sheetProtection sheet="1" objects="1" scenarios="1"/>
  <mergeCells count="9">
    <mergeCell ref="G15:H15"/>
    <mergeCell ref="I15:J15"/>
    <mergeCell ref="G1:J1"/>
    <mergeCell ref="G14:J14"/>
    <mergeCell ref="L1:M1"/>
    <mergeCell ref="G2:H2"/>
    <mergeCell ref="I2:J2"/>
    <mergeCell ref="A1:B1"/>
    <mergeCell ref="D1:E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Sema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Thiemicke</dc:creator>
  <cp:keywords/>
  <dc:description/>
  <cp:lastModifiedBy>Acford</cp:lastModifiedBy>
  <cp:lastPrinted>2004-08-02T14:52:51Z</cp:lastPrinted>
  <dcterms:created xsi:type="dcterms:W3CDTF">2002-05-19T10:49:02Z</dcterms:created>
  <dcterms:modified xsi:type="dcterms:W3CDTF">2005-06-19T16:43:46Z</dcterms:modified>
  <cp:category/>
  <cp:version/>
  <cp:contentType/>
  <cp:contentStatus/>
</cp:coreProperties>
</file>